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0E504CDC-FAE0-415B-9390-393E63CAA5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8" r:id="rId1"/>
  </sheets>
  <definedNames>
    <definedName name="_xlnm._FilterDatabase" localSheetId="0" hidden="1">Arkusz1!$B$16:$I$25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8" l="1"/>
  <c r="H14" i="8"/>
  <c r="J14" i="8"/>
  <c r="K14" i="8"/>
  <c r="M14" i="8"/>
  <c r="N14" i="8"/>
  <c r="L14" i="8"/>
  <c r="L11" i="8"/>
  <c r="L13" i="8"/>
  <c r="L12" i="8"/>
  <c r="O25" i="8" l="1"/>
  <c r="N25" i="8"/>
  <c r="M25" i="8"/>
  <c r="L25" i="8"/>
  <c r="K25" i="8"/>
  <c r="K23" i="8"/>
  <c r="K21" i="8"/>
  <c r="K20" i="8"/>
  <c r="K19" i="8"/>
  <c r="K18" i="8"/>
  <c r="K17" i="8"/>
  <c r="N13" i="8"/>
  <c r="M13" i="8"/>
  <c r="N12" i="8"/>
  <c r="M12" i="8"/>
  <c r="N23" i="8"/>
  <c r="M23" i="8"/>
  <c r="O23" i="8" s="1"/>
  <c r="P23" i="8" s="1"/>
  <c r="L23" i="8"/>
  <c r="I12" i="8" l="1"/>
  <c r="H12" i="8" s="1"/>
  <c r="N21" i="8" l="1"/>
  <c r="N20" i="8"/>
  <c r="N19" i="8"/>
  <c r="N18" i="8"/>
  <c r="N17" i="8"/>
  <c r="M18" i="8"/>
  <c r="M17" i="8"/>
  <c r="L21" i="8"/>
  <c r="L20" i="8"/>
  <c r="L19" i="8"/>
  <c r="L18" i="8"/>
  <c r="L17" i="8"/>
  <c r="K13" i="8"/>
  <c r="K12" i="8"/>
  <c r="M21" i="8"/>
  <c r="M20" i="8"/>
  <c r="M19" i="8"/>
  <c r="N11" i="8"/>
  <c r="M11" i="8"/>
  <c r="C18" i="8"/>
  <c r="C19" i="8" s="1"/>
  <c r="C20" i="8" s="1"/>
  <c r="C21" i="8" s="1"/>
  <c r="P17" i="8" l="1"/>
  <c r="O17" i="8"/>
  <c r="O18" i="8"/>
  <c r="O19" i="8" l="1"/>
  <c r="O21" i="8"/>
  <c r="O20" i="8"/>
  <c r="I11" i="8" l="1"/>
  <c r="H11" i="8" s="1"/>
  <c r="I13" i="8" l="1"/>
  <c r="H13" i="8" s="1"/>
  <c r="P25" i="8"/>
</calcChain>
</file>

<file path=xl/sharedStrings.xml><?xml version="1.0" encoding="utf-8"?>
<sst xmlns="http://schemas.openxmlformats.org/spreadsheetml/2006/main" count="91" uniqueCount="73">
  <si>
    <t>Grupa taryfowa</t>
  </si>
  <si>
    <t>zł/kWh</t>
  </si>
  <si>
    <t>kWh</t>
  </si>
  <si>
    <t>opłata sieciowa stała</t>
  </si>
  <si>
    <t>opłata sieciowa zmienna</t>
  </si>
  <si>
    <t>roczna opłata sieciowa stała</t>
  </si>
  <si>
    <t>roczna opłata sieciowa zmienna</t>
  </si>
  <si>
    <t>roczna opłata za paliwo gazowe</t>
  </si>
  <si>
    <t>zł/m-c</t>
  </si>
  <si>
    <t>zł netto</t>
  </si>
  <si>
    <t>cena oferty netto</t>
  </si>
  <si>
    <t>Ilość punktów poboru</t>
  </si>
  <si>
    <t>szt.</t>
  </si>
  <si>
    <t>-</t>
  </si>
  <si>
    <t>W-4_ZA</t>
  </si>
  <si>
    <t>W-5.1_ZA</t>
  </si>
  <si>
    <t>kW</t>
  </si>
  <si>
    <t>gr netto/kWh</t>
  </si>
  <si>
    <t>W-4</t>
  </si>
  <si>
    <t>NP.</t>
  </si>
  <si>
    <t>ulica</t>
  </si>
  <si>
    <t>Nr PPG</t>
  </si>
  <si>
    <t>nazwa punktu poboru</t>
  </si>
  <si>
    <t>Stara 6</t>
  </si>
  <si>
    <t>kotłownia K-10</t>
  </si>
  <si>
    <t>'8018590365500000054633</t>
  </si>
  <si>
    <t>Wieniawskiego 1</t>
  </si>
  <si>
    <t>kotłownia K-15</t>
  </si>
  <si>
    <t>'8018590365500013268294</t>
  </si>
  <si>
    <t>Zielna 9</t>
  </si>
  <si>
    <t>kotłownia K-19</t>
  </si>
  <si>
    <t>'8018590365500001191085</t>
  </si>
  <si>
    <t>Judyma 4</t>
  </si>
  <si>
    <t>kotłownia K-23</t>
  </si>
  <si>
    <t>'8018590365500040910968</t>
  </si>
  <si>
    <t>Bałtycka 1</t>
  </si>
  <si>
    <t>kotłownia K-09</t>
  </si>
  <si>
    <t>'8018590365500001310561</t>
  </si>
  <si>
    <t>Szkolna 15</t>
  </si>
  <si>
    <t>kotłownia K-12</t>
  </si>
  <si>
    <t>'8018590365500001319052</t>
  </si>
  <si>
    <t>Szkolna 3</t>
  </si>
  <si>
    <t>kotłownia K-13</t>
  </si>
  <si>
    <t>grupa taryfowa</t>
  </si>
  <si>
    <t>W-5.1</t>
  </si>
  <si>
    <t>moc umowna</t>
  </si>
  <si>
    <t>suma</t>
  </si>
  <si>
    <t>CENA OFERTY BRUTTO</t>
  </si>
  <si>
    <t>suma zł netto</t>
  </si>
  <si>
    <t>8018590365500001148881</t>
  </si>
  <si>
    <t>zł brutto</t>
  </si>
  <si>
    <t>Przyjęta do obliczeń aktualna stawka VAT : 0%</t>
  </si>
  <si>
    <t>Opłata abonamentowa</t>
  </si>
  <si>
    <t>Oferowana cena za paliwo gazowe dla wolumenu A</t>
  </si>
  <si>
    <t>Oferowana cena za paliwo gazowe dla wolumenu B</t>
  </si>
  <si>
    <t>A - wolumen gazu podlegający ochronie w świetle ustawy z dnia 28.01.2022 r. o szczególnych rozwiązaniach służących ochronie odbiorców paliw gazowych w związku z sytuacją na rynku gazu</t>
  </si>
  <si>
    <r>
      <t xml:space="preserve">B - wolumen gazu nie podlegający ochronie </t>
    </r>
    <r>
      <rPr>
        <sz val="12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</rPr>
      <t>w świetle ustawy z dnia 28.01.2022 r. o szczególnych rozwiązaniach służących ochronie odbiorców paliw gazowych w związku z sytuacją na rynku gazu</t>
    </r>
  </si>
  <si>
    <t>roczna opłata abonamentowa</t>
  </si>
  <si>
    <t>szacowana część A</t>
  </si>
  <si>
    <t>szacowana część B</t>
  </si>
  <si>
    <t>zł/miesiąc</t>
  </si>
  <si>
    <t>roczne zapotrzebowanie gazu B</t>
  </si>
  <si>
    <t>roczne zapotrzebowanie gazu A</t>
  </si>
  <si>
    <t>Stawki opłat stałych oraz zmiennych użyte do wyliczenia ceny oferty są zgodne z "Taryfą nr 10 dla usług dystrybucji paliw gazowych" Polskiej Spóki Gazownictwa z uwzględnieniem zmiany z dnia 17.08.2022 r. - obowiązująca od 01.09.2022r.</t>
  </si>
  <si>
    <t>Moc zamówiona</t>
  </si>
  <si>
    <t>Zadania</t>
  </si>
  <si>
    <t>Zadanie nr 2</t>
  </si>
  <si>
    <t>Zadanie nr 3</t>
  </si>
  <si>
    <t>Zadanie nr 1</t>
  </si>
  <si>
    <t>Całkowite zapotrzebo- wanie gazu</t>
  </si>
  <si>
    <t>Przyjęty do obliczeń czas dostawy dla grup taryfowych do W-4: 9 miesięcy</t>
  </si>
  <si>
    <t>Przyjęty do obliczeń czas dostawy dla grup taryfowych od W-5.1: 6600 godzin.</t>
  </si>
  <si>
    <r>
      <t xml:space="preserve">Po wstawieniu w komórki w kolumnie D oferowanej ceny za paliwo gazowe dla poszczególnych grup taryfowych, cena oferty zostanie wyliczona w komórce F17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Załącznik nr 7 do SWZ - kalkulator ceny oferty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</si>
</sst>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vertical="center"/>
    </xf>
    <xf numFmtId="4" fontId="1" fillId="6" borderId="3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5" borderId="0" xfId="0" applyFont="1" applyFill="1" applyAlignment="1">
      <alignment vertical="center" wrapText="1"/>
    </xf>
    <xf numFmtId="3" fontId="1" fillId="0" borderId="6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EAEA"/>
      <color rgb="FFFFCCFF"/>
      <color rgb="FFFF99FF"/>
      <color rgb="FFFFFFCC"/>
      <color rgb="FFFFFF99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6946-5212-41A9-9DD2-10FFD247F832}">
  <sheetPr>
    <pageSetUpPr fitToPage="1"/>
  </sheetPr>
  <dimension ref="B1:T25"/>
  <sheetViews>
    <sheetView tabSelected="1" workbookViewId="0">
      <selection activeCell="H8" sqref="H1:H1048576"/>
    </sheetView>
  </sheetViews>
  <sheetFormatPr defaultColWidth="9.140625" defaultRowHeight="12.75" x14ac:dyDescent="0.25"/>
  <cols>
    <col min="1" max="1" width="6.85546875" style="9" customWidth="1"/>
    <col min="2" max="2" width="14" style="9" customWidth="1"/>
    <col min="3" max="3" width="4.5703125" style="9" customWidth="1"/>
    <col min="4" max="4" width="24.5703125" style="9" customWidth="1"/>
    <col min="5" max="6" width="20.28515625" style="9" customWidth="1"/>
    <col min="7" max="7" width="15.85546875" style="9" customWidth="1"/>
    <col min="8" max="8" width="14.140625" style="9" customWidth="1"/>
    <col min="9" max="9" width="14.85546875" style="9" customWidth="1"/>
    <col min="10" max="11" width="14.5703125" style="9" customWidth="1"/>
    <col min="12" max="12" width="13.28515625" style="9" customWidth="1"/>
    <col min="13" max="13" width="11.28515625" style="9" customWidth="1"/>
    <col min="14" max="14" width="13.140625" style="9" customWidth="1"/>
    <col min="15" max="15" width="13.7109375" style="9" customWidth="1"/>
    <col min="16" max="16" width="12.5703125" style="9" customWidth="1"/>
    <col min="17" max="17" width="13.5703125" style="9" customWidth="1"/>
    <col min="18" max="18" width="11.7109375" style="9" customWidth="1"/>
    <col min="19" max="16384" width="9.140625" style="9"/>
  </cols>
  <sheetData>
    <row r="1" spans="2:20" ht="15.75" customHeight="1" x14ac:dyDescent="0.25">
      <c r="B1" s="43" t="s">
        <v>72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"/>
      <c r="R1" s="4"/>
    </row>
    <row r="2" spans="2:20" ht="15.75" customHeight="1" x14ac:dyDescent="0.25">
      <c r="B2" s="42" t="s">
        <v>63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58"/>
      <c r="R2" s="58"/>
    </row>
    <row r="3" spans="2:20" ht="15.75" customHeight="1" x14ac:dyDescent="0.25">
      <c r="B3" s="57" t="s">
        <v>70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4"/>
      <c r="Q3" s="4"/>
    </row>
    <row r="4" spans="2:20" ht="15.75" customHeight="1" x14ac:dyDescent="0.25">
      <c r="B4" s="57" t="s">
        <v>71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4"/>
      <c r="Q4" s="4"/>
    </row>
    <row r="5" spans="2:20" ht="15.75" customHeight="1" x14ac:dyDescent="0.25">
      <c r="B5" s="43" t="s">
        <v>51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"/>
      <c r="Q5" s="4"/>
    </row>
    <row r="6" spans="2:20" ht="15.75" customHeight="1" x14ac:dyDescent="0.25">
      <c r="B6" s="41" t="s">
        <v>55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"/>
      <c r="Q6" s="4"/>
    </row>
    <row r="7" spans="2:20" ht="15.75" customHeight="1" x14ac:dyDescent="0.25">
      <c r="B7" s="41" t="s">
        <v>56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5"/>
      <c r="P7" s="4"/>
      <c r="Q7" s="4"/>
    </row>
    <row r="8" spans="2:20" ht="15.75" customHeight="1" x14ac:dyDescent="0.25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20" ht="47.25" x14ac:dyDescent="0.25">
      <c r="B9" s="50" t="s">
        <v>65</v>
      </c>
      <c r="C9" s="51"/>
      <c r="D9" s="56" t="s">
        <v>0</v>
      </c>
      <c r="E9" s="7" t="s">
        <v>54</v>
      </c>
      <c r="F9" s="7" t="s">
        <v>53</v>
      </c>
      <c r="G9" s="7" t="s">
        <v>52</v>
      </c>
      <c r="H9" s="1" t="s">
        <v>47</v>
      </c>
      <c r="I9" s="37" t="s">
        <v>10</v>
      </c>
      <c r="J9" s="1" t="s">
        <v>11</v>
      </c>
      <c r="K9" s="1" t="s">
        <v>64</v>
      </c>
      <c r="L9" s="1" t="s">
        <v>69</v>
      </c>
      <c r="M9" s="1" t="s">
        <v>58</v>
      </c>
      <c r="N9" s="1" t="s">
        <v>59</v>
      </c>
      <c r="O9" s="7" t="s">
        <v>3</v>
      </c>
      <c r="P9" s="7" t="s">
        <v>4</v>
      </c>
      <c r="Q9" s="5"/>
    </row>
    <row r="10" spans="2:20" ht="15.75" customHeight="1" x14ac:dyDescent="0.25">
      <c r="B10" s="52"/>
      <c r="C10" s="53"/>
      <c r="D10" s="56"/>
      <c r="E10" s="6" t="s">
        <v>17</v>
      </c>
      <c r="F10" s="6" t="s">
        <v>17</v>
      </c>
      <c r="G10" s="6" t="s">
        <v>60</v>
      </c>
      <c r="H10" s="2" t="s">
        <v>50</v>
      </c>
      <c r="I10" s="38" t="s">
        <v>9</v>
      </c>
      <c r="J10" s="1" t="s">
        <v>12</v>
      </c>
      <c r="K10" s="1" t="s">
        <v>16</v>
      </c>
      <c r="L10" s="1" t="s">
        <v>2</v>
      </c>
      <c r="M10" s="1" t="s">
        <v>2</v>
      </c>
      <c r="N10" s="1" t="s">
        <v>2</v>
      </c>
      <c r="O10" s="6" t="s">
        <v>8</v>
      </c>
      <c r="P10" s="6" t="s">
        <v>1</v>
      </c>
      <c r="Q10" s="5"/>
    </row>
    <row r="11" spans="2:20" ht="15.75" customHeight="1" x14ac:dyDescent="0.25">
      <c r="B11" s="54" t="s">
        <v>68</v>
      </c>
      <c r="C11" s="55"/>
      <c r="D11" s="6" t="s">
        <v>14</v>
      </c>
      <c r="E11" s="22" t="s">
        <v>13</v>
      </c>
      <c r="F11" s="22"/>
      <c r="G11" s="22"/>
      <c r="H11" s="10">
        <f t="shared" ref="H11" si="0">I11*1</f>
        <v>38317.149999999994</v>
      </c>
      <c r="I11" s="39">
        <f>O17+O18+O19+O20+O21</f>
        <v>38317.149999999994</v>
      </c>
      <c r="J11" s="2">
        <v>5</v>
      </c>
      <c r="K11" s="11" t="s">
        <v>13</v>
      </c>
      <c r="L11" s="12">
        <f>M11+N11</f>
        <v>897766</v>
      </c>
      <c r="M11" s="12">
        <f>J21+J20+J19+J18+J17</f>
        <v>897766</v>
      </c>
      <c r="N11" s="12">
        <f>I21+I20+I19+I18+I17</f>
        <v>0</v>
      </c>
      <c r="O11" s="33">
        <v>165.2</v>
      </c>
      <c r="P11" s="33">
        <v>3.44E-2</v>
      </c>
      <c r="Q11" s="5"/>
    </row>
    <row r="12" spans="2:20" ht="15.75" customHeight="1" x14ac:dyDescent="0.25">
      <c r="B12" s="54" t="s">
        <v>66</v>
      </c>
      <c r="C12" s="55"/>
      <c r="D12" s="6" t="s">
        <v>15</v>
      </c>
      <c r="E12" s="22" t="s">
        <v>13</v>
      </c>
      <c r="F12" s="22"/>
      <c r="G12" s="22"/>
      <c r="H12" s="10">
        <f>I12*1</f>
        <v>20658.27</v>
      </c>
      <c r="I12" s="39">
        <f>O23</f>
        <v>20658.27</v>
      </c>
      <c r="J12" s="2">
        <v>1</v>
      </c>
      <c r="K12" s="11">
        <f>H23</f>
        <v>384</v>
      </c>
      <c r="L12" s="12">
        <f>M12+N12</f>
        <v>292485</v>
      </c>
      <c r="M12" s="12">
        <f>J23</f>
        <v>292485</v>
      </c>
      <c r="N12" s="12">
        <f>I23</f>
        <v>0</v>
      </c>
      <c r="O12" s="33">
        <v>6.1199999999999996E-3</v>
      </c>
      <c r="P12" s="33">
        <v>1.7600000000000001E-2</v>
      </c>
      <c r="Q12" s="5"/>
    </row>
    <row r="13" spans="2:20" ht="15.75" customHeight="1" thickBot="1" x14ac:dyDescent="0.3">
      <c r="B13" s="54" t="s">
        <v>67</v>
      </c>
      <c r="C13" s="55"/>
      <c r="D13" s="6" t="s">
        <v>15</v>
      </c>
      <c r="E13" s="22"/>
      <c r="F13" s="22"/>
      <c r="G13" s="22"/>
      <c r="H13" s="10">
        <f t="shared" ref="H13" si="1">I13*1</f>
        <v>20436.95</v>
      </c>
      <c r="I13" s="39">
        <f>O25</f>
        <v>20436.95</v>
      </c>
      <c r="J13" s="2">
        <v>1</v>
      </c>
      <c r="K13" s="11">
        <f>H25</f>
        <v>384</v>
      </c>
      <c r="L13" s="12">
        <f>M13+N13</f>
        <v>279910</v>
      </c>
      <c r="M13" s="12">
        <f>J25</f>
        <v>88393</v>
      </c>
      <c r="N13" s="12">
        <f>I25</f>
        <v>191517</v>
      </c>
      <c r="O13" s="33">
        <v>6.1199999999999996E-3</v>
      </c>
      <c r="P13" s="33">
        <v>1.7600000000000001E-2</v>
      </c>
      <c r="Q13" s="5"/>
    </row>
    <row r="14" spans="2:20" ht="15.75" customHeight="1" thickBot="1" x14ac:dyDescent="0.3">
      <c r="D14" s="8"/>
      <c r="E14" s="28" t="s">
        <v>46</v>
      </c>
      <c r="F14" s="28" t="s">
        <v>46</v>
      </c>
      <c r="G14" s="28" t="s">
        <v>46</v>
      </c>
      <c r="H14" s="23">
        <f t="shared" ref="H14:I14" si="2">SUM(H11:H13)</f>
        <v>79412.37</v>
      </c>
      <c r="I14" s="40">
        <f t="shared" si="2"/>
        <v>79412.37</v>
      </c>
      <c r="J14" s="29">
        <f>SUM(J11:J13)</f>
        <v>7</v>
      </c>
      <c r="K14" s="59">
        <f>SUM(K11:K13)</f>
        <v>768</v>
      </c>
      <c r="L14" s="30">
        <f>SUM(L11:L13)</f>
        <v>1470161</v>
      </c>
      <c r="M14" s="30">
        <f t="shared" ref="M14:N14" si="3">SUM(M11:M13)</f>
        <v>1278644</v>
      </c>
      <c r="N14" s="30">
        <f t="shared" si="3"/>
        <v>191517</v>
      </c>
      <c r="O14" s="31"/>
      <c r="P14" s="32"/>
      <c r="Q14" s="5"/>
    </row>
    <row r="15" spans="2:20" ht="15.75" customHeight="1" x14ac:dyDescent="0.25">
      <c r="D15" s="8"/>
      <c r="E15" s="24"/>
      <c r="G15" s="25"/>
      <c r="H15" s="25"/>
      <c r="I15" s="25"/>
      <c r="J15" s="26"/>
      <c r="K15" s="26"/>
      <c r="L15" s="25"/>
      <c r="M15" s="27"/>
      <c r="N15" s="25"/>
      <c r="O15" s="5"/>
      <c r="P15" s="5"/>
      <c r="Q15" s="5"/>
    </row>
    <row r="16" spans="2:20" s="3" customFormat="1" ht="51.75" customHeight="1" x14ac:dyDescent="0.25">
      <c r="B16" s="20" t="s">
        <v>65</v>
      </c>
      <c r="C16" s="20" t="s">
        <v>19</v>
      </c>
      <c r="D16" s="20" t="s">
        <v>21</v>
      </c>
      <c r="E16" s="20" t="s">
        <v>20</v>
      </c>
      <c r="F16" s="20" t="s">
        <v>22</v>
      </c>
      <c r="G16" s="20" t="s">
        <v>43</v>
      </c>
      <c r="H16" s="20" t="s">
        <v>45</v>
      </c>
      <c r="I16" s="20" t="s">
        <v>61</v>
      </c>
      <c r="J16" s="20" t="s">
        <v>62</v>
      </c>
      <c r="K16" s="20" t="s">
        <v>7</v>
      </c>
      <c r="L16" s="20" t="s">
        <v>5</v>
      </c>
      <c r="M16" s="20" t="s">
        <v>6</v>
      </c>
      <c r="N16" s="20" t="s">
        <v>57</v>
      </c>
      <c r="O16" s="21" t="s">
        <v>48</v>
      </c>
      <c r="P16" s="21" t="s">
        <v>48</v>
      </c>
      <c r="Q16" s="5"/>
      <c r="T16" s="9"/>
    </row>
    <row r="17" spans="2:19" ht="15" customHeight="1" x14ac:dyDescent="0.25">
      <c r="B17" s="47" t="s">
        <v>68</v>
      </c>
      <c r="C17" s="13">
        <v>1</v>
      </c>
      <c r="D17" s="19" t="s">
        <v>49</v>
      </c>
      <c r="E17" s="15" t="s">
        <v>23</v>
      </c>
      <c r="F17" s="15" t="s">
        <v>24</v>
      </c>
      <c r="G17" s="13" t="s">
        <v>18</v>
      </c>
      <c r="H17" s="16"/>
      <c r="I17" s="17"/>
      <c r="J17" s="17">
        <v>246871</v>
      </c>
      <c r="K17" s="18">
        <f>(ROUND($F$11*J17,2))/100</f>
        <v>0</v>
      </c>
      <c r="L17" s="18">
        <f>ROUND(9*$O$11,2)</f>
        <v>1486.8</v>
      </c>
      <c r="M17" s="18">
        <f>ROUND((I17+J17)*$P$11,2)</f>
        <v>8492.36</v>
      </c>
      <c r="N17" s="18">
        <f>ROUND(9*$G$11,2)</f>
        <v>0</v>
      </c>
      <c r="O17" s="18">
        <f>N17+M17+L17+K17</f>
        <v>9979.16</v>
      </c>
      <c r="P17" s="44">
        <f>SUM(M17:M21)+SUM(L17:L21)+SUM(K17:K21)+SUM(N17:N21)</f>
        <v>38317.149999999994</v>
      </c>
      <c r="Q17" s="5"/>
      <c r="S17" s="3"/>
    </row>
    <row r="18" spans="2:19" ht="15" customHeight="1" x14ac:dyDescent="0.25">
      <c r="B18" s="48"/>
      <c r="C18" s="13">
        <f>C17+1</f>
        <v>2</v>
      </c>
      <c r="D18" s="14" t="s">
        <v>25</v>
      </c>
      <c r="E18" s="15" t="s">
        <v>26</v>
      </c>
      <c r="F18" s="15" t="s">
        <v>27</v>
      </c>
      <c r="G18" s="13" t="s">
        <v>18</v>
      </c>
      <c r="H18" s="16"/>
      <c r="I18" s="17"/>
      <c r="J18" s="17">
        <v>337724</v>
      </c>
      <c r="K18" s="18">
        <f>(ROUND($F$11*J18,2))/100</f>
        <v>0</v>
      </c>
      <c r="L18" s="18">
        <f>ROUND(9*$O$11,2)</f>
        <v>1486.8</v>
      </c>
      <c r="M18" s="18">
        <f>ROUND((I18+J18)*$P$11,2)</f>
        <v>11617.71</v>
      </c>
      <c r="N18" s="18">
        <f>ROUND(9*$G$11,2)</f>
        <v>0</v>
      </c>
      <c r="O18" s="18">
        <f>N18+M18+L18+K18</f>
        <v>13104.509999999998</v>
      </c>
      <c r="P18" s="45"/>
      <c r="Q18" s="5"/>
      <c r="R18" s="3"/>
      <c r="S18" s="3"/>
    </row>
    <row r="19" spans="2:19" ht="15" customHeight="1" x14ac:dyDescent="0.25">
      <c r="B19" s="48"/>
      <c r="C19" s="13">
        <f>C18+1</f>
        <v>3</v>
      </c>
      <c r="D19" s="14" t="s">
        <v>28</v>
      </c>
      <c r="E19" s="15" t="s">
        <v>29</v>
      </c>
      <c r="F19" s="15" t="s">
        <v>30</v>
      </c>
      <c r="G19" s="13" t="s">
        <v>18</v>
      </c>
      <c r="H19" s="16"/>
      <c r="I19" s="17"/>
      <c r="J19" s="17">
        <v>81317</v>
      </c>
      <c r="K19" s="18">
        <f>(ROUND($F$11*J19,2))/100</f>
        <v>0</v>
      </c>
      <c r="L19" s="18">
        <f>ROUND(9*$O$11,2)</f>
        <v>1486.8</v>
      </c>
      <c r="M19" s="18">
        <f>ROUND((I19+J19)*$P$11,2)</f>
        <v>2797.3</v>
      </c>
      <c r="N19" s="18">
        <f>ROUND(9*$G$11,2)</f>
        <v>0</v>
      </c>
      <c r="O19" s="18">
        <f t="shared" ref="O19:O21" si="4">N19+M19+L19+K19</f>
        <v>4284.1000000000004</v>
      </c>
      <c r="P19" s="45"/>
      <c r="R19" s="3"/>
      <c r="S19" s="3"/>
    </row>
    <row r="20" spans="2:19" ht="15" customHeight="1" x14ac:dyDescent="0.25">
      <c r="B20" s="48"/>
      <c r="C20" s="13">
        <f>C19+1</f>
        <v>4</v>
      </c>
      <c r="D20" s="14" t="s">
        <v>31</v>
      </c>
      <c r="E20" s="15" t="s">
        <v>32</v>
      </c>
      <c r="F20" s="15" t="s">
        <v>33</v>
      </c>
      <c r="G20" s="13" t="s">
        <v>18</v>
      </c>
      <c r="H20" s="16"/>
      <c r="I20" s="17"/>
      <c r="J20" s="17">
        <v>101354</v>
      </c>
      <c r="K20" s="18">
        <f>(ROUND($F$11*J20,2))/100</f>
        <v>0</v>
      </c>
      <c r="L20" s="18">
        <f>ROUND(9*$O$11,2)</f>
        <v>1486.8</v>
      </c>
      <c r="M20" s="18">
        <f>ROUND((I20+J20)*$P$11,2)</f>
        <v>3486.58</v>
      </c>
      <c r="N20" s="18">
        <f>ROUND(9*$G$11,2)</f>
        <v>0</v>
      </c>
      <c r="O20" s="18">
        <f t="shared" si="4"/>
        <v>4973.38</v>
      </c>
      <c r="P20" s="45"/>
    </row>
    <row r="21" spans="2:19" ht="15" customHeight="1" x14ac:dyDescent="0.25">
      <c r="B21" s="49"/>
      <c r="C21" s="13">
        <f>C20+1</f>
        <v>5</v>
      </c>
      <c r="D21" s="14" t="s">
        <v>34</v>
      </c>
      <c r="E21" s="15" t="s">
        <v>35</v>
      </c>
      <c r="F21" s="15" t="s">
        <v>36</v>
      </c>
      <c r="G21" s="13" t="s">
        <v>18</v>
      </c>
      <c r="H21" s="16"/>
      <c r="I21" s="17"/>
      <c r="J21" s="17">
        <v>130500</v>
      </c>
      <c r="K21" s="18">
        <f>(ROUND($F$11*J21,2))/100</f>
        <v>0</v>
      </c>
      <c r="L21" s="18">
        <f>ROUND(9*$O$11,2)</f>
        <v>1486.8</v>
      </c>
      <c r="M21" s="18">
        <f>ROUND((I21+J21)*$P$11,2)</f>
        <v>4489.2</v>
      </c>
      <c r="N21" s="18">
        <f>ROUND(9*$G$11,2)</f>
        <v>0</v>
      </c>
      <c r="O21" s="18">
        <f t="shared" si="4"/>
        <v>5976</v>
      </c>
      <c r="P21" s="46"/>
    </row>
    <row r="22" spans="2:19" ht="15" customHeight="1" x14ac:dyDescent="0.25">
      <c r="P22" s="34"/>
    </row>
    <row r="23" spans="2:19" ht="15" customHeight="1" x14ac:dyDescent="0.25">
      <c r="B23" s="6" t="s">
        <v>66</v>
      </c>
      <c r="C23" s="13">
        <v>1</v>
      </c>
      <c r="D23" s="14" t="s">
        <v>40</v>
      </c>
      <c r="E23" s="15" t="s">
        <v>41</v>
      </c>
      <c r="F23" s="15" t="s">
        <v>42</v>
      </c>
      <c r="G23" s="13" t="s">
        <v>44</v>
      </c>
      <c r="H23" s="60">
        <v>384</v>
      </c>
      <c r="I23" s="17"/>
      <c r="J23" s="17">
        <v>292485</v>
      </c>
      <c r="K23" s="18">
        <f>(ROUND($F$12*J23,2))/100</f>
        <v>0</v>
      </c>
      <c r="L23" s="18">
        <f>ROUND(6600*$O$12*H23,2)</f>
        <v>15510.53</v>
      </c>
      <c r="M23" s="18">
        <f>ROUND($P$12*(I23+J23),2)</f>
        <v>5147.74</v>
      </c>
      <c r="N23" s="18">
        <f>ROUND(9*$G$12,2)</f>
        <v>0</v>
      </c>
      <c r="O23" s="18">
        <f>N23+M23+L23+K23</f>
        <v>20658.27</v>
      </c>
      <c r="P23" s="35">
        <f>O23</f>
        <v>20658.27</v>
      </c>
    </row>
    <row r="24" spans="2:19" ht="15" customHeight="1" x14ac:dyDescent="0.25">
      <c r="H24" s="34"/>
      <c r="P24" s="36"/>
    </row>
    <row r="25" spans="2:19" ht="15" customHeight="1" x14ac:dyDescent="0.25">
      <c r="B25" s="6" t="s">
        <v>67</v>
      </c>
      <c r="C25" s="13">
        <v>1</v>
      </c>
      <c r="D25" s="14" t="s">
        <v>37</v>
      </c>
      <c r="E25" s="15" t="s">
        <v>38</v>
      </c>
      <c r="F25" s="15" t="s">
        <v>39</v>
      </c>
      <c r="G25" s="13" t="s">
        <v>44</v>
      </c>
      <c r="H25" s="60">
        <v>384</v>
      </c>
      <c r="I25" s="17">
        <v>191517</v>
      </c>
      <c r="J25" s="17">
        <v>88393</v>
      </c>
      <c r="K25" s="18">
        <f>(ROUND($E$13*I25,2)+ROUND($F$13*J25,2))/100</f>
        <v>0</v>
      </c>
      <c r="L25" s="18">
        <f>ROUND(6600*$O$13*H25,2)</f>
        <v>15510.53</v>
      </c>
      <c r="M25" s="18">
        <f>ROUND($P$13*(I25+J25),2)</f>
        <v>4926.42</v>
      </c>
      <c r="N25" s="18">
        <f>ROUND(9*$G$13,2)</f>
        <v>0</v>
      </c>
      <c r="O25" s="18">
        <f>N25+M25+L25+K25</f>
        <v>20436.95</v>
      </c>
      <c r="P25" s="35">
        <f>O25</f>
        <v>20436.95</v>
      </c>
    </row>
  </sheetData>
  <autoFilter ref="D16:J25" xr:uid="{56606946-5212-41A9-9DD2-10FFD247F832}"/>
  <mergeCells count="14">
    <mergeCell ref="P17:P21"/>
    <mergeCell ref="B17:B21"/>
    <mergeCell ref="B9:C10"/>
    <mergeCell ref="B11:C11"/>
    <mergeCell ref="B12:C12"/>
    <mergeCell ref="B13:C13"/>
    <mergeCell ref="D9:D10"/>
    <mergeCell ref="B6:O6"/>
    <mergeCell ref="B7:N7"/>
    <mergeCell ref="B3:O3"/>
    <mergeCell ref="B4:O4"/>
    <mergeCell ref="B5:O5"/>
    <mergeCell ref="B1:P1"/>
    <mergeCell ref="B2:P2"/>
  </mergeCells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2022-12-28T07:02:37Z</dcterms:modified>
</cp:coreProperties>
</file>