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83CAD4CE-51E5-41A2-8712-C6669A06EC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8" r:id="rId1"/>
  </sheets>
  <definedNames>
    <definedName name="_xlnm._FilterDatabase" localSheetId="0" hidden="1">Arkusz1!$A$22:$I$121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8" l="1"/>
  <c r="P11" i="8" s="1"/>
  <c r="P14" i="8"/>
  <c r="P13" i="8"/>
  <c r="P12" i="8"/>
  <c r="O12" i="8"/>
  <c r="N28" i="8"/>
  <c r="M28" i="8"/>
  <c r="L28" i="8"/>
  <c r="K28" i="8"/>
  <c r="M42" i="8"/>
  <c r="L30" i="8"/>
  <c r="O15" i="8"/>
  <c r="O14" i="8"/>
  <c r="O13" i="8"/>
  <c r="O11" i="8"/>
  <c r="M114" i="8"/>
  <c r="M84" i="8"/>
  <c r="M74" i="8"/>
  <c r="M51" i="8"/>
  <c r="M102" i="8"/>
  <c r="M93" i="8"/>
  <c r="M90" i="8"/>
  <c r="M89" i="8"/>
  <c r="M81" i="8"/>
  <c r="M80" i="8"/>
  <c r="M66" i="8"/>
  <c r="M116" i="8"/>
  <c r="M115" i="8"/>
  <c r="M108" i="8"/>
  <c r="M107" i="8"/>
  <c r="M106" i="8"/>
  <c r="M105" i="8"/>
  <c r="M104" i="8"/>
  <c r="M103" i="8"/>
  <c r="M100" i="8"/>
  <c r="M98" i="8"/>
  <c r="M97" i="8"/>
  <c r="M94" i="8"/>
  <c r="M92" i="8"/>
  <c r="M91" i="8"/>
  <c r="M88" i="8"/>
  <c r="M87" i="8"/>
  <c r="M86" i="8"/>
  <c r="M79" i="8"/>
  <c r="M78" i="8"/>
  <c r="M77" i="8"/>
  <c r="M76" i="8"/>
  <c r="M75" i="8"/>
  <c r="M73" i="8"/>
  <c r="M71" i="8"/>
  <c r="M70" i="8"/>
  <c r="M69" i="8"/>
  <c r="M64" i="8"/>
  <c r="M63" i="8"/>
  <c r="M62" i="8"/>
  <c r="M56" i="8"/>
  <c r="M55" i="8"/>
  <c r="M54" i="8"/>
  <c r="M53" i="8"/>
  <c r="M52" i="8"/>
  <c r="M49" i="8"/>
  <c r="M48" i="8"/>
  <c r="M44" i="8"/>
  <c r="M39" i="8"/>
  <c r="M35" i="8"/>
  <c r="M34" i="8"/>
  <c r="M33" i="8"/>
  <c r="M32" i="8"/>
  <c r="M118" i="8"/>
  <c r="M60" i="8"/>
  <c r="M59" i="8"/>
  <c r="M58" i="8"/>
  <c r="M57" i="8"/>
  <c r="M119" i="8"/>
  <c r="M113" i="8"/>
  <c r="M112" i="8"/>
  <c r="M109" i="8"/>
  <c r="M101" i="8"/>
  <c r="M96" i="8"/>
  <c r="M95" i="8"/>
  <c r="M68" i="8"/>
  <c r="M61" i="8"/>
  <c r="M41" i="8"/>
  <c r="M38" i="8"/>
  <c r="M36" i="8"/>
  <c r="M27" i="8"/>
  <c r="M26" i="8"/>
  <c r="M25" i="8"/>
  <c r="M24" i="8"/>
  <c r="M23" i="8"/>
  <c r="M120" i="8"/>
  <c r="M117" i="8"/>
  <c r="M110" i="8"/>
  <c r="M99" i="8"/>
  <c r="M85" i="8"/>
  <c r="M83" i="8"/>
  <c r="M82" i="8"/>
  <c r="M72" i="8"/>
  <c r="M67" i="8"/>
  <c r="M65" i="8"/>
  <c r="M50" i="8"/>
  <c r="M47" i="8"/>
  <c r="M46" i="8"/>
  <c r="M45" i="8"/>
  <c r="M40" i="8"/>
  <c r="M37" i="8"/>
  <c r="M31" i="8"/>
  <c r="P18" i="8" s="1"/>
  <c r="M30" i="8"/>
  <c r="M29" i="8"/>
  <c r="L110" i="8"/>
  <c r="L109" i="8"/>
  <c r="N116" i="8"/>
  <c r="N115" i="8"/>
  <c r="N108" i="8"/>
  <c r="N107" i="8"/>
  <c r="N106" i="8"/>
  <c r="N105" i="8"/>
  <c r="N104" i="8"/>
  <c r="N103" i="8"/>
  <c r="N100" i="8"/>
  <c r="N98" i="8"/>
  <c r="N97" i="8"/>
  <c r="N94" i="8"/>
  <c r="N92" i="8"/>
  <c r="N91" i="8"/>
  <c r="N88" i="8"/>
  <c r="N87" i="8"/>
  <c r="N86" i="8"/>
  <c r="N79" i="8"/>
  <c r="N78" i="8"/>
  <c r="N77" i="8"/>
  <c r="N76" i="8"/>
  <c r="N75" i="8"/>
  <c r="N73" i="8"/>
  <c r="N64" i="8"/>
  <c r="N63" i="8"/>
  <c r="N62" i="8"/>
  <c r="N56" i="8"/>
  <c r="N55" i="8"/>
  <c r="N53" i="8"/>
  <c r="N52" i="8"/>
  <c r="N49" i="8"/>
  <c r="N44" i="8"/>
  <c r="N32" i="8"/>
  <c r="N39" i="8"/>
  <c r="N27" i="8"/>
  <c r="N26" i="8"/>
  <c r="N25" i="8"/>
  <c r="N24" i="8"/>
  <c r="N23" i="8"/>
  <c r="M15" i="8"/>
  <c r="M17" i="8"/>
  <c r="L17" i="8"/>
  <c r="N29" i="8"/>
  <c r="N40" i="8"/>
  <c r="N45" i="8"/>
  <c r="N47" i="8"/>
  <c r="K110" i="8"/>
  <c r="K46" i="8"/>
  <c r="K37" i="8"/>
  <c r="K30" i="8"/>
  <c r="K120" i="8"/>
  <c r="K117" i="8"/>
  <c r="K99" i="8"/>
  <c r="K85" i="8"/>
  <c r="K83" i="8"/>
  <c r="K82" i="8"/>
  <c r="K72" i="8"/>
  <c r="K67" i="8"/>
  <c r="K65" i="8"/>
  <c r="K50" i="8"/>
  <c r="K47" i="8"/>
  <c r="K45" i="8"/>
  <c r="K40" i="8"/>
  <c r="K29" i="8"/>
  <c r="K119" i="8"/>
  <c r="K113" i="8"/>
  <c r="K112" i="8"/>
  <c r="K109" i="8"/>
  <c r="K101" i="8"/>
  <c r="K96" i="8"/>
  <c r="K95" i="8"/>
  <c r="K68" i="8"/>
  <c r="K61" i="8"/>
  <c r="K41" i="8"/>
  <c r="K38" i="8"/>
  <c r="K36" i="8"/>
  <c r="K27" i="8"/>
  <c r="K26" i="8"/>
  <c r="K25" i="8"/>
  <c r="K24" i="8"/>
  <c r="K23" i="8"/>
  <c r="K118" i="8"/>
  <c r="K60" i="8"/>
  <c r="K59" i="8"/>
  <c r="K58" i="8"/>
  <c r="K57" i="8"/>
  <c r="K116" i="8"/>
  <c r="K115" i="8"/>
  <c r="K108" i="8"/>
  <c r="K107" i="8"/>
  <c r="K106" i="8"/>
  <c r="K105" i="8"/>
  <c r="K104" i="8"/>
  <c r="K103" i="8"/>
  <c r="K100" i="8"/>
  <c r="K98" i="8"/>
  <c r="K97" i="8"/>
  <c r="K94" i="8"/>
  <c r="K92" i="8"/>
  <c r="K91" i="8"/>
  <c r="K88" i="8"/>
  <c r="K87" i="8"/>
  <c r="K86" i="8"/>
  <c r="K79" i="8"/>
  <c r="K78" i="8"/>
  <c r="K77" i="8"/>
  <c r="K76" i="8"/>
  <c r="K75" i="8"/>
  <c r="K73" i="8"/>
  <c r="K71" i="8"/>
  <c r="K70" i="8"/>
  <c r="K69" i="8"/>
  <c r="K64" i="8"/>
  <c r="K63" i="8"/>
  <c r="K62" i="8"/>
  <c r="K56" i="8"/>
  <c r="K55" i="8"/>
  <c r="K54" i="8"/>
  <c r="K53" i="8"/>
  <c r="K52" i="8"/>
  <c r="K49" i="8"/>
  <c r="K48" i="8"/>
  <c r="K44" i="8"/>
  <c r="K39" i="8"/>
  <c r="K35" i="8"/>
  <c r="K34" i="8"/>
  <c r="K33" i="8"/>
  <c r="K32" i="8"/>
  <c r="K102" i="8"/>
  <c r="K93" i="8"/>
  <c r="K90" i="8"/>
  <c r="K89" i="8"/>
  <c r="K81" i="8"/>
  <c r="K80" i="8"/>
  <c r="K66" i="8"/>
  <c r="K114" i="8"/>
  <c r="K84" i="8"/>
  <c r="K74" i="8"/>
  <c r="K51" i="8"/>
  <c r="K43" i="8"/>
  <c r="K42" i="8"/>
  <c r="N50" i="8"/>
  <c r="N110" i="8"/>
  <c r="N46" i="8"/>
  <c r="N65" i="8"/>
  <c r="L16" i="8"/>
  <c r="M16" i="8"/>
  <c r="S18" i="8"/>
  <c r="L46" i="8"/>
  <c r="L37" i="8"/>
  <c r="L36" i="8"/>
  <c r="N82" i="8"/>
  <c r="N117" i="8"/>
  <c r="N99" i="8"/>
  <c r="N85" i="8"/>
  <c r="N83" i="8"/>
  <c r="N72" i="8"/>
  <c r="N61" i="8"/>
  <c r="N111" i="8"/>
  <c r="L111" i="8"/>
  <c r="J111" i="8"/>
  <c r="K111" i="8" s="1"/>
  <c r="N113" i="8"/>
  <c r="N112" i="8"/>
  <c r="N96" i="8"/>
  <c r="N101" i="8"/>
  <c r="N95" i="8"/>
  <c r="N41" i="8"/>
  <c r="N38" i="8"/>
  <c r="N60" i="8"/>
  <c r="N59" i="8"/>
  <c r="N58" i="8"/>
  <c r="L12" i="8"/>
  <c r="L13" i="8"/>
  <c r="L14" i="8"/>
  <c r="L18" i="8"/>
  <c r="L11" i="8"/>
  <c r="N102" i="8"/>
  <c r="N90" i="8"/>
  <c r="N81" i="8"/>
  <c r="N93" i="8"/>
  <c r="N89" i="8"/>
  <c r="N80" i="8"/>
  <c r="N114" i="8"/>
  <c r="N74" i="8"/>
  <c r="N84" i="8"/>
  <c r="N51" i="8"/>
  <c r="N43" i="8"/>
  <c r="N42" i="8"/>
  <c r="L119" i="8"/>
  <c r="L113" i="8"/>
  <c r="L80" i="8"/>
  <c r="L120" i="8"/>
  <c r="B24" i="8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L31" i="8"/>
  <c r="O18" i="8" s="1"/>
  <c r="L117" i="8"/>
  <c r="L99" i="8"/>
  <c r="L85" i="8"/>
  <c r="L83" i="8"/>
  <c r="L82" i="8"/>
  <c r="L72" i="8"/>
  <c r="L67" i="8"/>
  <c r="L65" i="8"/>
  <c r="L50" i="8"/>
  <c r="L47" i="8"/>
  <c r="L45" i="8"/>
  <c r="L40" i="8"/>
  <c r="L29" i="8"/>
  <c r="L118" i="8"/>
  <c r="L60" i="8"/>
  <c r="L59" i="8"/>
  <c r="L58" i="8"/>
  <c r="L57" i="8"/>
  <c r="L116" i="8"/>
  <c r="L115" i="8"/>
  <c r="L108" i="8"/>
  <c r="L107" i="8"/>
  <c r="L106" i="8"/>
  <c r="L105" i="8"/>
  <c r="L104" i="8"/>
  <c r="L103" i="8"/>
  <c r="L100" i="8"/>
  <c r="L98" i="8"/>
  <c r="L97" i="8"/>
  <c r="L94" i="8"/>
  <c r="L92" i="8"/>
  <c r="L91" i="8"/>
  <c r="L88" i="8"/>
  <c r="L87" i="8"/>
  <c r="L86" i="8"/>
  <c r="L79" i="8"/>
  <c r="L78" i="8"/>
  <c r="L77" i="8"/>
  <c r="L76" i="8"/>
  <c r="L75" i="8"/>
  <c r="L73" i="8"/>
  <c r="L71" i="8"/>
  <c r="L70" i="8"/>
  <c r="L69" i="8"/>
  <c r="L64" i="8"/>
  <c r="L63" i="8"/>
  <c r="L62" i="8"/>
  <c r="L56" i="8"/>
  <c r="L55" i="8"/>
  <c r="L54" i="8"/>
  <c r="L53" i="8"/>
  <c r="L52" i="8"/>
  <c r="L49" i="8"/>
  <c r="L48" i="8"/>
  <c r="L44" i="8"/>
  <c r="L39" i="8"/>
  <c r="L35" i="8"/>
  <c r="L34" i="8"/>
  <c r="L33" i="8"/>
  <c r="L32" i="8"/>
  <c r="L102" i="8"/>
  <c r="L93" i="8"/>
  <c r="L90" i="8"/>
  <c r="L89" i="8"/>
  <c r="L81" i="8"/>
  <c r="L66" i="8"/>
  <c r="L114" i="8"/>
  <c r="L84" i="8"/>
  <c r="L74" i="8"/>
  <c r="L51" i="8"/>
  <c r="L43" i="8"/>
  <c r="L42" i="8"/>
  <c r="L23" i="8"/>
  <c r="L112" i="8"/>
  <c r="L101" i="8"/>
  <c r="L96" i="8"/>
  <c r="L95" i="8"/>
  <c r="L68" i="8"/>
  <c r="L61" i="8"/>
  <c r="L41" i="8"/>
  <c r="L38" i="8"/>
  <c r="L27" i="8"/>
  <c r="L26" i="8"/>
  <c r="L25" i="8"/>
  <c r="L24" i="8"/>
  <c r="K31" i="8"/>
  <c r="N18" i="8" s="1"/>
  <c r="M111" i="8" l="1"/>
  <c r="L15" i="8"/>
  <c r="O16" i="8"/>
  <c r="O17" i="8"/>
  <c r="O120" i="8"/>
  <c r="S15" i="8"/>
  <c r="S14" i="8"/>
  <c r="S13" i="8"/>
  <c r="S12" i="8"/>
  <c r="S11" i="8"/>
  <c r="S16" i="8"/>
  <c r="M19" i="8"/>
  <c r="O93" i="8"/>
  <c r="O101" i="8"/>
  <c r="P16" i="8"/>
  <c r="S17" i="8"/>
  <c r="H18" i="8"/>
  <c r="O113" i="8"/>
  <c r="O90" i="8"/>
  <c r="N17" i="8"/>
  <c r="P17" i="8"/>
  <c r="O95" i="8"/>
  <c r="O112" i="8"/>
  <c r="O84" i="8"/>
  <c r="O74" i="8"/>
  <c r="O81" i="8"/>
  <c r="O102" i="8"/>
  <c r="O111" i="8"/>
  <c r="O38" i="8"/>
  <c r="O85" i="8"/>
  <c r="O41" i="8"/>
  <c r="O89" i="8"/>
  <c r="O119" i="8"/>
  <c r="O51" i="8"/>
  <c r="O96" i="8"/>
  <c r="O83" i="8"/>
  <c r="O99" i="8"/>
  <c r="L19" i="8"/>
  <c r="N11" i="8"/>
  <c r="P15" i="8"/>
  <c r="J19" i="8"/>
  <c r="O104" i="8"/>
  <c r="O87" i="8"/>
  <c r="O72" i="8"/>
  <c r="O114" i="8"/>
  <c r="I19" i="8"/>
  <c r="O79" i="8"/>
  <c r="O105" i="8"/>
  <c r="O94" i="8"/>
  <c r="O118" i="8"/>
  <c r="O75" i="8"/>
  <c r="O97" i="8"/>
  <c r="K19" i="8"/>
  <c r="O32" i="8"/>
  <c r="O77" i="8"/>
  <c r="O88" i="8"/>
  <c r="O98" i="8"/>
  <c r="O107" i="8"/>
  <c r="O109" i="8"/>
  <c r="O78" i="8"/>
  <c r="O91" i="8"/>
  <c r="O103" i="8"/>
  <c r="O108" i="8"/>
  <c r="O76" i="8"/>
  <c r="O86" i="8"/>
  <c r="O92" i="8"/>
  <c r="O100" i="8"/>
  <c r="O106" i="8"/>
  <c r="N16" i="8" l="1"/>
  <c r="H16" i="8" s="1"/>
  <c r="H17" i="8"/>
  <c r="O23" i="8"/>
  <c r="O44" i="8"/>
  <c r="O47" i="8"/>
  <c r="O49" i="8"/>
  <c r="O62" i="8"/>
  <c r="O33" i="8"/>
  <c r="O39" i="8"/>
  <c r="O66" i="8"/>
  <c r="O52" i="8"/>
  <c r="N12" i="8"/>
  <c r="H12" i="8" s="1"/>
  <c r="N14" i="8"/>
  <c r="H14" i="8" s="1"/>
  <c r="H11" i="8"/>
  <c r="N15" i="8"/>
  <c r="H15" i="8" s="1"/>
  <c r="G18" i="8"/>
  <c r="N13" i="8"/>
  <c r="H13" i="8" l="1"/>
  <c r="G13" i="8" s="1"/>
  <c r="G11" i="8"/>
  <c r="G14" i="8"/>
  <c r="G16" i="8"/>
  <c r="G15" i="8"/>
  <c r="G17" i="8"/>
  <c r="G12" i="8"/>
  <c r="N19" i="8"/>
  <c r="H19" i="8" l="1"/>
  <c r="G19" i="8"/>
</calcChain>
</file>

<file path=xl/sharedStrings.xml><?xml version="1.0" encoding="utf-8"?>
<sst xmlns="http://schemas.openxmlformats.org/spreadsheetml/2006/main" count="517" uniqueCount="349">
  <si>
    <t>Grupa taryfowa</t>
  </si>
  <si>
    <t>zł/kWh</t>
  </si>
  <si>
    <t>kWh</t>
  </si>
  <si>
    <t>zł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</si>
  <si>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</si>
  <si>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</si>
  <si>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</si>
  <si>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</si>
  <si>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</si>
  <si>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</si>
  <si>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</si>
  <si>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cena oferty netto</t>
  </si>
  <si>
    <t>Ilość punktów poboru</t>
  </si>
  <si>
    <t>szt.</t>
  </si>
  <si>
    <t>-</t>
  </si>
  <si>
    <t>W-1.1_ZA</t>
  </si>
  <si>
    <t>W-2.1_ZA</t>
  </si>
  <si>
    <t>W-3.6_ZA</t>
  </si>
  <si>
    <t>W-3.9_ZA</t>
  </si>
  <si>
    <t>W-4_ZA</t>
  </si>
  <si>
    <t>W-5.1_ZA</t>
  </si>
  <si>
    <t>W-7A.1_ZA</t>
  </si>
  <si>
    <t>W-6A.1_ZA</t>
  </si>
  <si>
    <t>kW</t>
  </si>
  <si>
    <t>Przyjęty do obliczeń czas dostawy dla grup taryfowych do W-4: 12 miesięcy</t>
  </si>
  <si>
    <t>Przyjęty do obliczeń czas dostawy dla grup taryfowych od W-5.1: 8760 godzin.</t>
  </si>
  <si>
    <t>Moc zamówio- na</t>
  </si>
  <si>
    <t>gr netto/kWh</t>
  </si>
  <si>
    <t>Miejski Zakład Energetyki Cieplnej Sp. z o.o.</t>
  </si>
  <si>
    <t>Gmina Kędzierzyn-Koźle</t>
  </si>
  <si>
    <t>W-3.6</t>
  </si>
  <si>
    <t>W-4</t>
  </si>
  <si>
    <t>W-6.1</t>
  </si>
  <si>
    <t>Odbiorca/Płatnik</t>
  </si>
  <si>
    <t>NO</t>
  </si>
  <si>
    <t>NP.</t>
  </si>
  <si>
    <t>ulica</t>
  </si>
  <si>
    <t>Nr PPG</t>
  </si>
  <si>
    <t>nazwa punktu poboru</t>
  </si>
  <si>
    <t>Zespół Szkół Żeglugi Śródlądowej im. Bohaterów Westerplatte</t>
  </si>
  <si>
    <t>Bohaterów Westerplatte 1</t>
  </si>
  <si>
    <t>8018590365500001025472</t>
  </si>
  <si>
    <t>I Liceum Ogólnokształcące im. Henryka Sienkiewicza</t>
  </si>
  <si>
    <t>Grzegorza Piramowicza 36</t>
  </si>
  <si>
    <t>'8018590365500001025496</t>
  </si>
  <si>
    <t>Publiczna Szkoła Podstawowa nr 3</t>
  </si>
  <si>
    <t>Ignacego Mościckiego 14</t>
  </si>
  <si>
    <t>8018590365500001232085</t>
  </si>
  <si>
    <t>Publiczna Szkoła Podstawowa nr 12</t>
  </si>
  <si>
    <t>Piramowicza 28</t>
  </si>
  <si>
    <t>8018590365500001292485</t>
  </si>
  <si>
    <t>Publiczna Szkoła Podstawowa nr 19</t>
  </si>
  <si>
    <t>Mieszka I 4</t>
  </si>
  <si>
    <t>8018590365500001213152</t>
  </si>
  <si>
    <t xml:space="preserve">Politechnika Opolska </t>
  </si>
  <si>
    <t>8018590365500003377487</t>
  </si>
  <si>
    <t>Waryńskiego 9</t>
  </si>
  <si>
    <t>Hotel Asystenta</t>
  </si>
  <si>
    <t>Miejski Ośrodek Sportu i Rekreacji</t>
  </si>
  <si>
    <t>8018590365500001241148</t>
  </si>
  <si>
    <t>Al. Jana Pawła II 29</t>
  </si>
  <si>
    <t>Hala Sportowa Śródmieście</t>
  </si>
  <si>
    <t>Publiczna Szkoła Podstawowa nr 15 im. Jana Kochanowskiego</t>
  </si>
  <si>
    <t>8018590365500001019891</t>
  </si>
  <si>
    <t>Szymanowskiego 19</t>
  </si>
  <si>
    <t>Publiczna Szkoła Podstawowa nr 15</t>
  </si>
  <si>
    <t>Publiczne Przedszkole nr 6</t>
  </si>
  <si>
    <t>Kościuszki 21</t>
  </si>
  <si>
    <t>8018590365500001012090</t>
  </si>
  <si>
    <t>Publiczne Przedszkole nr 7</t>
  </si>
  <si>
    <t>Jordanowska 14</t>
  </si>
  <si>
    <t>8018590365500001132637</t>
  </si>
  <si>
    <t>Publiczne Przedszkole nr 10</t>
  </si>
  <si>
    <t>Broniewskiego 5</t>
  </si>
  <si>
    <t>80185903655000001088767</t>
  </si>
  <si>
    <t>Publiczne Przedszkole nr 22</t>
  </si>
  <si>
    <t>9 Maja 4</t>
  </si>
  <si>
    <t>8018590365500001239343</t>
  </si>
  <si>
    <t>8018590365500001051006</t>
  </si>
  <si>
    <t>Sławięcicka 18</t>
  </si>
  <si>
    <t>Strażnica OSP Sławięcice</t>
  </si>
  <si>
    <t>Filtrowa 14</t>
  </si>
  <si>
    <t>Miejskie Wodociągi i Kanalizacja  w Kędzierzynie-Koźlu Sp. z o.o.</t>
  </si>
  <si>
    <t>8018590365500001064037</t>
  </si>
  <si>
    <t>Grunwaldzka 67</t>
  </si>
  <si>
    <t>Dział Kanalizacji</t>
  </si>
  <si>
    <t>8018590365500001236397</t>
  </si>
  <si>
    <t>warsztat samochodowy + garaże</t>
  </si>
  <si>
    <t>8018590365500001058739</t>
  </si>
  <si>
    <t>Biurowiec</t>
  </si>
  <si>
    <t>Dom Pomocy Społecznej</t>
  </si>
  <si>
    <t>Zielna 1</t>
  </si>
  <si>
    <t>8018590365500001199616</t>
  </si>
  <si>
    <t xml:space="preserve">Dom Pomocy Społecznej </t>
  </si>
  <si>
    <t>Zespół Szkół Nr 3 im. Mikołaja Reja</t>
  </si>
  <si>
    <t>Sławięcicka 79</t>
  </si>
  <si>
    <t>8018590365500001184636</t>
  </si>
  <si>
    <t>Centrum Kształecnia Zawodowego</t>
  </si>
  <si>
    <t>Wyspa 20</t>
  </si>
  <si>
    <t>8018590365500031765867</t>
  </si>
  <si>
    <t>Bursa Szkolna</t>
  </si>
  <si>
    <t>Piastowska 19</t>
  </si>
  <si>
    <t>8018590365500001290511</t>
  </si>
  <si>
    <t>Miejski Zarząd Budynków Komunalnych</t>
  </si>
  <si>
    <t>8018590365500013893731</t>
  </si>
  <si>
    <t>Grunwaldzka 83/1</t>
  </si>
  <si>
    <t>lokal użytkowy</t>
  </si>
  <si>
    <t>8018590365500001054076</t>
  </si>
  <si>
    <t>Ściegiennego 2</t>
  </si>
  <si>
    <t>przychodnia</t>
  </si>
  <si>
    <t>8018590365500001066840</t>
  </si>
  <si>
    <t>Plebiscytowa 3</t>
  </si>
  <si>
    <t>budynek użytkowy</t>
  </si>
  <si>
    <t>8018590365500001067250</t>
  </si>
  <si>
    <t>Ligonia 5</t>
  </si>
  <si>
    <t>administracja MZBK</t>
  </si>
  <si>
    <t>Żeglarska 13</t>
  </si>
  <si>
    <t>budynek mieszkalny</t>
  </si>
  <si>
    <t>Miejski Ośrodek Pomocy Społecznej</t>
  </si>
  <si>
    <t>8018590365500001064815</t>
  </si>
  <si>
    <t>Powstańców 26</t>
  </si>
  <si>
    <t>8018590365500001025489</t>
  </si>
  <si>
    <t>Piramowicza 27</t>
  </si>
  <si>
    <t>8018590365500001051495</t>
  </si>
  <si>
    <t>Grabskiego 6</t>
  </si>
  <si>
    <t>8018590365500001229887</t>
  </si>
  <si>
    <t>Sadowa 24</t>
  </si>
  <si>
    <t>Stadion Sławięcice</t>
  </si>
  <si>
    <t>8018590365500001060312</t>
  </si>
  <si>
    <t>Chrobrego 31</t>
  </si>
  <si>
    <t>Stadion Kożle</t>
  </si>
  <si>
    <t>8018590365500019574535</t>
  </si>
  <si>
    <t>Szkolna 7</t>
  </si>
  <si>
    <t>Stadion Blachownia</t>
  </si>
  <si>
    <t>Publiczna Szkoła Podstawowa nr 1</t>
  </si>
  <si>
    <t>Kościelna 19</t>
  </si>
  <si>
    <t>801859036550001065843</t>
  </si>
  <si>
    <t>Grunwaldzka 40</t>
  </si>
  <si>
    <t>Publiczna Szkoła Podstawowa nr 5</t>
  </si>
  <si>
    <t>Kościuszki 41</t>
  </si>
  <si>
    <t>'8018590365500001012465</t>
  </si>
  <si>
    <t>Publiczna Szkoła Podstawowa nr 6</t>
  </si>
  <si>
    <t>8018590365500001065898</t>
  </si>
  <si>
    <t>Stalmacha 20</t>
  </si>
  <si>
    <t>Publiczna Szkoła Podstawowa nr 9</t>
  </si>
  <si>
    <t>Gagarina 3</t>
  </si>
  <si>
    <t>Publiczna Szkoła Podstawowa nr 11</t>
  </si>
  <si>
    <t>Partyzantów 30</t>
  </si>
  <si>
    <t>8018590365500001017002</t>
  </si>
  <si>
    <t>Piastowska 30</t>
  </si>
  <si>
    <t>8018590365500001093662</t>
  </si>
  <si>
    <t>Publiczna Szkoła Podstawowa nr 20</t>
  </si>
  <si>
    <t>Archimedesa 25</t>
  </si>
  <si>
    <t>'8018590365500001037055</t>
  </si>
  <si>
    <t>Publiczne Przedszkole nr 2</t>
  </si>
  <si>
    <t>Kozielska 3</t>
  </si>
  <si>
    <t>8018590365500001237219</t>
  </si>
  <si>
    <t>Publiczne Przedszkole nr 5</t>
  </si>
  <si>
    <t>1 Maja 5</t>
  </si>
  <si>
    <t>8018590365500001000578</t>
  </si>
  <si>
    <t>Publiczne Przedszkole nr 8</t>
  </si>
  <si>
    <t>Dmowskiego 5</t>
  </si>
  <si>
    <t>8018590365500001066215</t>
  </si>
  <si>
    <t>Publiczne Przedszkole nr 9</t>
  </si>
  <si>
    <t>Harcerska 16</t>
  </si>
  <si>
    <t>'8018590365500001066253</t>
  </si>
  <si>
    <t>Publiczne Przedszkole nr 11</t>
  </si>
  <si>
    <t>Reja 14</t>
  </si>
  <si>
    <t>8018590365500001237202</t>
  </si>
  <si>
    <t>Publiczne Przedszkole nr 14</t>
  </si>
  <si>
    <t>Roosvelta 13</t>
  </si>
  <si>
    <t>Publiczne Przedszkole nr 15</t>
  </si>
  <si>
    <t>Spółdzielców 3</t>
  </si>
  <si>
    <t>8018590365500001028213</t>
  </si>
  <si>
    <t>Publiczne Przedszkole nr 18</t>
  </si>
  <si>
    <t>Sławięcicka 96b</t>
  </si>
  <si>
    <t>8018590365500001256760</t>
  </si>
  <si>
    <t>Publiczne Przedszkole nr 23</t>
  </si>
  <si>
    <t>Wierzbowa 4</t>
  </si>
  <si>
    <t>8018590365500001271503</t>
  </si>
  <si>
    <t>Przedszkole Publiczne nr 24</t>
  </si>
  <si>
    <t>Leszka Białego 7</t>
  </si>
  <si>
    <t>8018590365500001059125</t>
  </si>
  <si>
    <t>Publiczne Przedszkole nr 26</t>
  </si>
  <si>
    <t>Bolesława Śmiałego 5</t>
  </si>
  <si>
    <t>8018590365500001059118</t>
  </si>
  <si>
    <t>Żłobek nr 3</t>
  </si>
  <si>
    <t>Piotra Skargi 25</t>
  </si>
  <si>
    <t>8018590365500001233525</t>
  </si>
  <si>
    <t>Żłobek nr 6</t>
  </si>
  <si>
    <t>1 Maja 7</t>
  </si>
  <si>
    <t>8018590365500001065683</t>
  </si>
  <si>
    <t>Żłobek nr 10</t>
  </si>
  <si>
    <t>8018590365500001058555</t>
  </si>
  <si>
    <t>Kazimierza Wielkiego 6</t>
  </si>
  <si>
    <t>8018590365500002973086</t>
  </si>
  <si>
    <t>Mikołajczyka 4-6</t>
  </si>
  <si>
    <t>DS. Zaścianek</t>
  </si>
  <si>
    <t>8018590365500002821905</t>
  </si>
  <si>
    <t>Luboszycka 9</t>
  </si>
  <si>
    <t>Gliwicka 20</t>
  </si>
  <si>
    <t>Schronisko dla zwierząt</t>
  </si>
  <si>
    <t>Gajowa 4</t>
  </si>
  <si>
    <t>budynek mieszkalno-usługowy</t>
  </si>
  <si>
    <t>Sławięcicka 9</t>
  </si>
  <si>
    <t>Klonowa 5</t>
  </si>
  <si>
    <t>Termoexpert SA</t>
  </si>
  <si>
    <t>Broniewskiego 15</t>
  </si>
  <si>
    <t>8018590365500029186322</t>
  </si>
  <si>
    <t>Stara 6</t>
  </si>
  <si>
    <t>kotłownia K-10</t>
  </si>
  <si>
    <t>'8018590365500000054633</t>
  </si>
  <si>
    <t>Wieniawskiego 1</t>
  </si>
  <si>
    <t>kotłownia K-15</t>
  </si>
  <si>
    <t>'8018590365500013268294</t>
  </si>
  <si>
    <t>Zielna 9</t>
  </si>
  <si>
    <t>kotłownia K-19</t>
  </si>
  <si>
    <t>'8018590365500001191085</t>
  </si>
  <si>
    <t>Judyma 4</t>
  </si>
  <si>
    <t>kotłownia K-23</t>
  </si>
  <si>
    <t>'8018590365500040910968</t>
  </si>
  <si>
    <t>Bałtycka 1</t>
  </si>
  <si>
    <t>kotłownia K-09</t>
  </si>
  <si>
    <t>8018590365500001022105</t>
  </si>
  <si>
    <t>Dunikowskiego 14</t>
  </si>
  <si>
    <t>Zakład Uzdatniania Wody</t>
  </si>
  <si>
    <t>Dom Dziecka</t>
  </si>
  <si>
    <t>Skarbowa 8</t>
  </si>
  <si>
    <t>8018590365500001065218</t>
  </si>
  <si>
    <t>8018590365500001267599</t>
  </si>
  <si>
    <t xml:space="preserve">Portowa 70 </t>
  </si>
  <si>
    <t>8018590365500000039463</t>
  </si>
  <si>
    <t>Grunwaldzka 71</t>
  </si>
  <si>
    <t>Stadion Kuźniczka</t>
  </si>
  <si>
    <t>Publiczne Przedszkole Nr 12</t>
  </si>
  <si>
    <t>Chrobrego 28</t>
  </si>
  <si>
    <t>8018590365500001033477</t>
  </si>
  <si>
    <t>Publiczne Przedszkole nr 13</t>
  </si>
  <si>
    <t>Piastowska 10</t>
  </si>
  <si>
    <t>8018590365500001065058</t>
  </si>
  <si>
    <t>Publiczne Przedszkole nr 21</t>
  </si>
  <si>
    <t>Filtrowa 13</t>
  </si>
  <si>
    <t>8018590365500001065102</t>
  </si>
  <si>
    <t>Samodzielny Publiczny  Zespół Opieki Zdrowotnej</t>
  </si>
  <si>
    <t>8018590365500001054656</t>
  </si>
  <si>
    <t>Harcerska 11</t>
  </si>
  <si>
    <t xml:space="preserve">Przychodnia Specjalistyczna </t>
  </si>
  <si>
    <t>Wspólnota Mieszkaniowa Reymonta 8-10-12</t>
  </si>
  <si>
    <t>8018590365500001315061</t>
  </si>
  <si>
    <t>Reymonta 8-10-12</t>
  </si>
  <si>
    <t>Wspólnota Mieszkaniowa Reymonta 1</t>
  </si>
  <si>
    <t>8018590365500006050035</t>
  </si>
  <si>
    <t>Reymonta 1</t>
  </si>
  <si>
    <t>Wspólnota Mieszkaniowa Sławięcicka 2</t>
  </si>
  <si>
    <t>8018590365500001052881</t>
  </si>
  <si>
    <t>Sławięcicka 2</t>
  </si>
  <si>
    <t>Wspólnota Mieszkaniowa Reymonta 2</t>
  </si>
  <si>
    <t>'8018590365500001310561</t>
  </si>
  <si>
    <t>Szkolna 15</t>
  </si>
  <si>
    <t>kotłownia K-12</t>
  </si>
  <si>
    <t>'8018590365500001319052</t>
  </si>
  <si>
    <t>Szkolna 3</t>
  </si>
  <si>
    <t>kotłownia K-13</t>
  </si>
  <si>
    <t>8018590365500000039333</t>
  </si>
  <si>
    <t>8018590365500000054589</t>
  </si>
  <si>
    <t>Wyspa 22B</t>
  </si>
  <si>
    <t>8018590365500000054671</t>
  </si>
  <si>
    <t>8018590365500000054619</t>
  </si>
  <si>
    <t>8018590365500000054466</t>
  </si>
  <si>
    <t>Kościuszki 43b</t>
  </si>
  <si>
    <t>8018590365500000059621</t>
  </si>
  <si>
    <t>Al. Jana Pawła II 31</t>
  </si>
  <si>
    <t>Kryta Pływalnia</t>
  </si>
  <si>
    <t>Publiczna Szkoła Podstawowa  nr 1</t>
  </si>
  <si>
    <t>8018590365500000039395</t>
  </si>
  <si>
    <t>'8018590365500000054657</t>
  </si>
  <si>
    <t>Publiczna Szkoła Podstawowa nr 16</t>
  </si>
  <si>
    <t>Sławięcicka 96</t>
  </si>
  <si>
    <t>8018590365500000039449</t>
  </si>
  <si>
    <t>8018590365500000039227</t>
  </si>
  <si>
    <t>Publiczne Przedszkole nr 17</t>
  </si>
  <si>
    <t>Szymanowskiego 29</t>
  </si>
  <si>
    <t>8018590365500020358551</t>
  </si>
  <si>
    <t>8018590365500019526626</t>
  </si>
  <si>
    <t>Mikołajczyka 5</t>
  </si>
  <si>
    <t>WM</t>
  </si>
  <si>
    <t>Bolesława Śmiałego 2</t>
  </si>
  <si>
    <t>Firma Handlowa BAN-ART. Andzej Bandurowski</t>
  </si>
  <si>
    <t>8018590365500000039555</t>
  </si>
  <si>
    <t>Tenis-Club</t>
  </si>
  <si>
    <t>'8018590365500001316501</t>
  </si>
  <si>
    <t>Tuwima 3C</t>
  </si>
  <si>
    <t>kotłownia K-11</t>
  </si>
  <si>
    <t>8018590365500013263275</t>
  </si>
  <si>
    <t>Gliwicka 4</t>
  </si>
  <si>
    <t>Oczyszczalnia Ścieków</t>
  </si>
  <si>
    <t>8018590365500000054572</t>
  </si>
  <si>
    <t>8018590365500000039630</t>
  </si>
  <si>
    <t>Roosevelta 2</t>
  </si>
  <si>
    <t>Szpital Zespolony Bud. A</t>
  </si>
  <si>
    <t>'8018590365500000039654</t>
  </si>
  <si>
    <t>Piastowska 52</t>
  </si>
  <si>
    <t>kotłownia K-41</t>
  </si>
  <si>
    <t>grupa taryfowa</t>
  </si>
  <si>
    <t>W-5.1</t>
  </si>
  <si>
    <t>W-1.1</t>
  </si>
  <si>
    <t>W-2.1</t>
  </si>
  <si>
    <t>W-3.9</t>
  </si>
  <si>
    <t>W-7A.1</t>
  </si>
  <si>
    <t>moc umowna</t>
  </si>
  <si>
    <t>suma</t>
  </si>
  <si>
    <t>DDP nr 1</t>
  </si>
  <si>
    <t>DDP nr 2</t>
  </si>
  <si>
    <t>DDP nr 3</t>
  </si>
  <si>
    <t>DDP Nr 5</t>
  </si>
  <si>
    <t>CENA OFERTY BRUTTO</t>
  </si>
  <si>
    <t>suma zł netto</t>
  </si>
  <si>
    <t>8018590365500031368006</t>
  </si>
  <si>
    <t>8018590365500001148881</t>
  </si>
  <si>
    <t>8018590365500013376784</t>
  </si>
  <si>
    <t>8018590365500029731133</t>
  </si>
  <si>
    <t>8018590365500031310340</t>
  </si>
  <si>
    <t>8018590365500031321759</t>
  </si>
  <si>
    <t>8018590365500003894458</t>
  </si>
  <si>
    <t>8018590365500001066451</t>
  </si>
  <si>
    <t>zł brutto</t>
  </si>
  <si>
    <t>Przyjęta do obliczeń aktualna stawka VAT : 0%</t>
  </si>
  <si>
    <t>8018590365500001023003</t>
  </si>
  <si>
    <t>OFEROWANA CENA NETTO DLA POSZCZEGÓLNYCH CZŁONKÓW GRUPY ZAKUPOWEJ:</t>
  </si>
  <si>
    <t>Gmina Bierawa</t>
  </si>
  <si>
    <t>8018590365500019175589</t>
  </si>
  <si>
    <t>Wojska Polskiego 12</t>
  </si>
  <si>
    <t>Urząd Gminy Bierawa</t>
  </si>
  <si>
    <t>8018590365500001025465</t>
  </si>
  <si>
    <t>Całkowite roczne zapotrzebo- wanie gazu</t>
  </si>
  <si>
    <t>Opłata abonamentowa</t>
  </si>
  <si>
    <t>Oferowana cena za paliwo gazowe dla wolumenu A</t>
  </si>
  <si>
    <t>Oferowana cena za paliwo gazowe dla wolumenu B</t>
  </si>
  <si>
    <t>A - wolumen gazu podlegający ochronie w świetle ustawy z dnia 28.01.2022 r. o szczególnych rozwiązaniach służących ochronie odbiorców paliw gazowych w związku z sytuacją na rynku gazu</t>
  </si>
  <si>
    <r>
      <t xml:space="preserve">B - wolumen gazu nie podlegający ochronie 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w świetle ustawy z dnia 28.01.2022 r. o szczególnych rozwiązaniach służących ochronie odbiorców paliw gazowych w związku z sytuacją na rynku gazu</t>
    </r>
  </si>
  <si>
    <t>roczna opłata abonamentowa</t>
  </si>
  <si>
    <t>szacowana część A</t>
  </si>
  <si>
    <t>szacowana część B</t>
  </si>
  <si>
    <t>zł/miesiąc</t>
  </si>
  <si>
    <t>roczne zapotrzebowanie gazu B</t>
  </si>
  <si>
    <t>roczne zapotrzebowanie gazu A</t>
  </si>
  <si>
    <t>roczna     opłata  sieciowa zmienna</t>
  </si>
  <si>
    <t>Stawki opłat stałych oraz zmiennych użyte do wyliczenia ceny oferty są zgodne z "Taryfą nr 10 dla usług dystrybucji paliw gazowych" Polskiej Spóki Gazownictwa z uwzględnieniem zmiany z dnia 17.08.2022 r. - obowiązująca od 01.09.2022r.</t>
  </si>
  <si>
    <r>
      <t xml:space="preserve">Po wstawieniu w komórki w kolumnie D oferowanej ceny za paliwo gazowe dla poszczególnych grup taryfowych, cena oferty zostanie wyliczona w komórce F17                          </t>
    </r>
    <r>
      <rPr>
        <b/>
        <sz val="9"/>
        <color theme="1"/>
        <rFont val="Calibri"/>
        <family val="2"/>
        <charset val="238"/>
        <scheme val="minor"/>
      </rPr>
      <t>Załącznik nr 7 do SWZ - kalkulator ceny oferty - zmiana z dnia 01.09.2022r.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</si>
</sst>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CCFF"/>
      <color rgb="FFFF99FF"/>
      <color rgb="FFFFFFCC"/>
      <color rgb="FFFFFF99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6946-5212-41A9-9DD2-10FFD247F832}">
  <sheetPr>
    <pageSetUpPr fitToPage="1"/>
  </sheetPr>
  <dimension ref="A1:S123"/>
  <sheetViews>
    <sheetView tabSelected="1" topLeftCell="A118" workbookViewId="0">
      <selection activeCell="B2" sqref="B2:P2"/>
    </sheetView>
  </sheetViews>
  <sheetFormatPr defaultColWidth="9.140625" defaultRowHeight="12.75" x14ac:dyDescent="0.25"/>
  <cols>
    <col min="1" max="1" width="4.7109375" style="9" customWidth="1"/>
    <col min="2" max="2" width="7.42578125" style="9" customWidth="1"/>
    <col min="3" max="3" width="16.85546875" style="3" customWidth="1"/>
    <col min="4" max="4" width="24" style="9" customWidth="1"/>
    <col min="5" max="5" width="21.5703125" style="9" customWidth="1"/>
    <col min="6" max="6" width="28.85546875" style="9" customWidth="1"/>
    <col min="7" max="7" width="14.7109375" style="9" customWidth="1"/>
    <col min="8" max="8" width="12.42578125" style="9" customWidth="1"/>
    <col min="9" max="10" width="14.5703125" style="9" customWidth="1"/>
    <col min="11" max="11" width="13.28515625" style="9" customWidth="1"/>
    <col min="12" max="12" width="11.28515625" style="9" bestFit="1" customWidth="1"/>
    <col min="13" max="13" width="11.140625" style="9" customWidth="1"/>
    <col min="14" max="14" width="13.28515625" style="9" customWidth="1"/>
    <col min="15" max="15" width="12.5703125" style="9" customWidth="1"/>
    <col min="16" max="16" width="13.5703125" style="9" customWidth="1"/>
    <col min="17" max="17" width="11.7109375" style="9" customWidth="1"/>
    <col min="18" max="16384" width="9.140625" style="9"/>
  </cols>
  <sheetData>
    <row r="1" spans="1:19" ht="15.75" customHeight="1" x14ac:dyDescent="0.25">
      <c r="A1" s="8"/>
      <c r="B1" s="107" t="s">
        <v>348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"/>
      <c r="R1" s="4"/>
    </row>
    <row r="2" spans="1:19" ht="15.75" customHeight="1" x14ac:dyDescent="0.25">
      <c r="A2" s="8"/>
      <c r="B2" s="108" t="s">
        <v>347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"/>
      <c r="R2" s="4"/>
    </row>
    <row r="3" spans="1:19" ht="15.75" customHeight="1" x14ac:dyDescent="0.25">
      <c r="A3" s="8"/>
      <c r="B3" s="107" t="s">
        <v>24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4"/>
      <c r="R3" s="4"/>
    </row>
    <row r="4" spans="1:19" ht="15.75" customHeight="1" x14ac:dyDescent="0.25">
      <c r="A4" s="8"/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4"/>
      <c r="R4" s="4"/>
    </row>
    <row r="5" spans="1:19" ht="15.75" customHeight="1" x14ac:dyDescent="0.25">
      <c r="A5" s="8"/>
      <c r="B5" s="107" t="s">
        <v>326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4"/>
      <c r="R5" s="4"/>
    </row>
    <row r="6" spans="1:19" ht="15.75" customHeight="1" x14ac:dyDescent="0.25">
      <c r="A6" s="8"/>
      <c r="B6" s="110" t="s">
        <v>338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4"/>
      <c r="R6" s="4"/>
    </row>
    <row r="7" spans="1:19" ht="15.75" customHeight="1" x14ac:dyDescent="0.25">
      <c r="A7" s="8"/>
      <c r="B7" s="110" t="s">
        <v>339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71"/>
      <c r="Q7" s="4"/>
      <c r="R7" s="4"/>
    </row>
    <row r="8" spans="1:19" ht="15.75" customHeight="1" x14ac:dyDescent="0.25">
      <c r="A8" s="8"/>
      <c r="B8" s="5"/>
      <c r="C8" s="5"/>
      <c r="D8" s="5"/>
      <c r="E8" s="5"/>
      <c r="F8" s="5"/>
      <c r="G8" s="5"/>
      <c r="H8" s="5"/>
      <c r="I8" s="5"/>
      <c r="J8" s="71"/>
      <c r="K8" s="5"/>
      <c r="L8" s="5"/>
      <c r="M8" s="5"/>
      <c r="N8" s="71"/>
      <c r="O8" s="5"/>
      <c r="P8" s="5"/>
      <c r="Q8" s="5"/>
      <c r="R8" s="5"/>
    </row>
    <row r="9" spans="1:19" ht="63" x14ac:dyDescent="0.25">
      <c r="A9" s="8"/>
      <c r="C9" s="109" t="s">
        <v>0</v>
      </c>
      <c r="D9" s="7" t="s">
        <v>337</v>
      </c>
      <c r="E9" s="7" t="s">
        <v>336</v>
      </c>
      <c r="F9" s="7" t="s">
        <v>335</v>
      </c>
      <c r="G9" s="1" t="s">
        <v>315</v>
      </c>
      <c r="H9" s="1" t="s">
        <v>11</v>
      </c>
      <c r="I9" s="1" t="s">
        <v>12</v>
      </c>
      <c r="J9" s="1" t="s">
        <v>26</v>
      </c>
      <c r="K9" s="1" t="s">
        <v>334</v>
      </c>
      <c r="L9" s="1" t="s">
        <v>341</v>
      </c>
      <c r="M9" s="1" t="s">
        <v>342</v>
      </c>
      <c r="N9" s="7" t="s">
        <v>8</v>
      </c>
      <c r="O9" s="1" t="s">
        <v>6</v>
      </c>
      <c r="P9" s="1" t="s">
        <v>346</v>
      </c>
      <c r="Q9" s="7" t="s">
        <v>4</v>
      </c>
      <c r="R9" s="7" t="s">
        <v>5</v>
      </c>
      <c r="S9" s="7" t="s">
        <v>340</v>
      </c>
    </row>
    <row r="10" spans="1:19" ht="15.75" customHeight="1" x14ac:dyDescent="0.25">
      <c r="A10" s="8"/>
      <c r="C10" s="109"/>
      <c r="D10" s="6" t="s">
        <v>27</v>
      </c>
      <c r="E10" s="72" t="s">
        <v>27</v>
      </c>
      <c r="F10" s="72" t="s">
        <v>343</v>
      </c>
      <c r="G10" s="2" t="s">
        <v>325</v>
      </c>
      <c r="H10" s="2" t="s">
        <v>10</v>
      </c>
      <c r="I10" s="1" t="s">
        <v>13</v>
      </c>
      <c r="J10" s="1" t="s">
        <v>23</v>
      </c>
      <c r="K10" s="1" t="s">
        <v>2</v>
      </c>
      <c r="L10" s="1" t="s">
        <v>2</v>
      </c>
      <c r="M10" s="1" t="s">
        <v>2</v>
      </c>
      <c r="N10" s="2" t="s">
        <v>10</v>
      </c>
      <c r="O10" s="1" t="s">
        <v>3</v>
      </c>
      <c r="P10" s="1" t="s">
        <v>3</v>
      </c>
      <c r="Q10" s="6" t="s">
        <v>9</v>
      </c>
      <c r="R10" s="6" t="s">
        <v>1</v>
      </c>
      <c r="S10" s="72" t="s">
        <v>10</v>
      </c>
    </row>
    <row r="11" spans="1:19" ht="15.75" customHeight="1" x14ac:dyDescent="0.25">
      <c r="A11" s="8"/>
      <c r="C11" s="6" t="s">
        <v>15</v>
      </c>
      <c r="D11" s="49">
        <v>0</v>
      </c>
      <c r="E11" s="49">
        <v>0</v>
      </c>
      <c r="F11" s="49">
        <v>0</v>
      </c>
      <c r="G11" s="10">
        <f t="shared" ref="G11:G18" si="0">H11*1</f>
        <v>920.28</v>
      </c>
      <c r="H11" s="10">
        <f t="shared" ref="H11:H16" si="1">P11+O11+N11+S11</f>
        <v>920.28</v>
      </c>
      <c r="I11" s="2">
        <v>6</v>
      </c>
      <c r="J11" s="11" t="s">
        <v>14</v>
      </c>
      <c r="K11" s="12">
        <v>11068</v>
      </c>
      <c r="L11" s="12">
        <f>K11-M11</f>
        <v>11068</v>
      </c>
      <c r="M11" s="12">
        <v>0</v>
      </c>
      <c r="N11" s="10">
        <f>K42+K43+K51+K74+K84+K114</f>
        <v>0</v>
      </c>
      <c r="O11" s="10">
        <f>ROUND(I11*12*Q11,2)</f>
        <v>303.12</v>
      </c>
      <c r="P11" s="10">
        <f>M42+M43+M51+M74+M84+M114</f>
        <v>617.16</v>
      </c>
      <c r="Q11" s="82">
        <v>4.21</v>
      </c>
      <c r="R11" s="82">
        <v>5.5759999999999997E-2</v>
      </c>
      <c r="S11" s="77">
        <f>N42+N43+N51+N74+N84+N114</f>
        <v>0</v>
      </c>
    </row>
    <row r="12" spans="1:19" ht="15.75" customHeight="1" x14ac:dyDescent="0.25">
      <c r="A12" s="8"/>
      <c r="C12" s="6" t="s">
        <v>16</v>
      </c>
      <c r="D12" s="49">
        <v>0</v>
      </c>
      <c r="E12" s="49">
        <v>0</v>
      </c>
      <c r="F12" s="49">
        <v>0</v>
      </c>
      <c r="G12" s="10">
        <f t="shared" si="0"/>
        <v>3824.88</v>
      </c>
      <c r="H12" s="10">
        <f t="shared" si="1"/>
        <v>3824.88</v>
      </c>
      <c r="I12" s="2">
        <v>7</v>
      </c>
      <c r="J12" s="11" t="s">
        <v>14</v>
      </c>
      <c r="K12" s="12">
        <v>69846</v>
      </c>
      <c r="L12" s="12">
        <f t="shared" ref="L12:L18" si="2">K12-M12</f>
        <v>61596</v>
      </c>
      <c r="M12" s="12">
        <v>8250</v>
      </c>
      <c r="N12" s="10">
        <f>K66+K81+K89+K90+K93+K102+K80</f>
        <v>0</v>
      </c>
      <c r="O12" s="10">
        <f>ROUND(I12*12*Q12,2)</f>
        <v>750.96</v>
      </c>
      <c r="P12" s="10">
        <f>M66+M80+M81+M89+M90+M93+M102</f>
        <v>3073.92</v>
      </c>
      <c r="Q12" s="82">
        <v>8.94</v>
      </c>
      <c r="R12" s="82">
        <v>4.4010000000000001E-2</v>
      </c>
      <c r="S12" s="77">
        <f>N66+N80+N81+N89+N90+N93+N102</f>
        <v>0</v>
      </c>
    </row>
    <row r="13" spans="1:19" ht="15.75" customHeight="1" x14ac:dyDescent="0.25">
      <c r="A13" s="8"/>
      <c r="C13" s="6" t="s">
        <v>17</v>
      </c>
      <c r="D13" s="49">
        <v>0</v>
      </c>
      <c r="E13" s="49">
        <v>0</v>
      </c>
      <c r="F13" s="49">
        <v>0</v>
      </c>
      <c r="G13" s="10">
        <f t="shared" si="0"/>
        <v>84761.639999999985</v>
      </c>
      <c r="H13" s="10">
        <f t="shared" si="1"/>
        <v>84761.639999999985</v>
      </c>
      <c r="I13" s="2">
        <v>42</v>
      </c>
      <c r="J13" s="11" t="s">
        <v>14</v>
      </c>
      <c r="K13" s="12">
        <v>1842373</v>
      </c>
      <c r="L13" s="12">
        <f t="shared" si="2"/>
        <v>1347569</v>
      </c>
      <c r="M13" s="12">
        <v>494804</v>
      </c>
      <c r="N13" s="10">
        <f>K32+K33+K34+K35+K39+K44+K48+K49+K52+K53+K54+K55+K56+K62+K63+K64+K69+K70+K71+K73+K75+K76+K77+K78+K79+K86+K87+K88+K91+K92+K94+K97+K98+K100+K103+K104+K105+K106+K107+K108+K115+K116</f>
        <v>0</v>
      </c>
      <c r="O13" s="10">
        <f>ROUND(I13*12*Q13,2)</f>
        <v>11803.68</v>
      </c>
      <c r="P13" s="10">
        <f>M32+M33+M34+M35+M39+M44+M48+M49+M52+M53+M54+M55+M56+M62+M63+M64+M69+M70+M71+M73+M75+M76+M77+M78+M79+M86+M87+M88+M91+M92+M94+M97+M98+M100+M103+M104+M105+M106+M107+M108+M115+M116</f>
        <v>72957.959999999992</v>
      </c>
      <c r="Q13" s="82">
        <v>23.42</v>
      </c>
      <c r="R13" s="82">
        <v>3.9600000000000003E-2</v>
      </c>
      <c r="S13" s="77">
        <f>N32+N33+N34+N35+N39+N44+N48+N49+N52+N53+N54+N55+N56+N62+N63+N64+N69+N70+N71+N73+N75+N76+N77+N78+N79+N86+N87+N88+N91+N92+N94+N97+N98+N100+N103+N104+N105+N106+N107+N108+N115+N116</f>
        <v>0</v>
      </c>
    </row>
    <row r="14" spans="1:19" ht="15.75" customHeight="1" x14ac:dyDescent="0.25">
      <c r="A14" s="8"/>
      <c r="C14" s="6" t="s">
        <v>18</v>
      </c>
      <c r="D14" s="49">
        <v>0</v>
      </c>
      <c r="E14" s="49">
        <v>0</v>
      </c>
      <c r="F14" s="49">
        <v>0</v>
      </c>
      <c r="G14" s="10">
        <f t="shared" si="0"/>
        <v>19895.45</v>
      </c>
      <c r="H14" s="10">
        <f t="shared" si="1"/>
        <v>19895.45</v>
      </c>
      <c r="I14" s="2">
        <v>5</v>
      </c>
      <c r="J14" s="11" t="s">
        <v>14</v>
      </c>
      <c r="K14" s="12">
        <v>463865</v>
      </c>
      <c r="L14" s="12">
        <f t="shared" si="2"/>
        <v>341877</v>
      </c>
      <c r="M14" s="12">
        <v>121988</v>
      </c>
      <c r="N14" s="10">
        <f>K57+K58+K59+K60+K118</f>
        <v>0</v>
      </c>
      <c r="O14" s="10">
        <f>ROUND(I14*12*Q14,2)</f>
        <v>1526.4</v>
      </c>
      <c r="P14" s="10">
        <f>M57+M58+M59+M60+M118</f>
        <v>18369.05</v>
      </c>
      <c r="Q14" s="82">
        <v>25.44</v>
      </c>
      <c r="R14" s="82">
        <v>3.9600000000000003E-2</v>
      </c>
      <c r="S14" s="77">
        <f>N57+N58+N59+N60+N118</f>
        <v>0</v>
      </c>
    </row>
    <row r="15" spans="1:19" ht="15.75" customHeight="1" x14ac:dyDescent="0.25">
      <c r="A15" s="8"/>
      <c r="C15" s="6" t="s">
        <v>19</v>
      </c>
      <c r="D15" s="49">
        <v>0</v>
      </c>
      <c r="E15" s="49">
        <v>0</v>
      </c>
      <c r="F15" s="49">
        <v>0</v>
      </c>
      <c r="G15" s="10">
        <f t="shared" si="0"/>
        <v>137705.21999999997</v>
      </c>
      <c r="H15" s="10">
        <f t="shared" si="1"/>
        <v>137705.21999999997</v>
      </c>
      <c r="I15" s="2">
        <v>18</v>
      </c>
      <c r="J15" s="11" t="s">
        <v>14</v>
      </c>
      <c r="K15" s="80">
        <v>2965757</v>
      </c>
      <c r="L15" s="12">
        <f>J119+J113+J112+J111+J109+J101+J95+J96+J68+J61+J41+J38+J36+J27+J26+J25+J24+J23</f>
        <v>2463899</v>
      </c>
      <c r="M15" s="12">
        <f>I119+I113+I112+I111+I109+I101+I95+I96+I68+I61+I41+I38+I36+I27+I26+I25+I24+I23</f>
        <v>501858</v>
      </c>
      <c r="N15" s="10">
        <f>K23+K24+K25+K26+K27+K36+K38+K41+K61+K68+K95+K96+K101+K109+K111+K112+K113+K119</f>
        <v>0</v>
      </c>
      <c r="O15" s="10">
        <f>ROUND(I15*12*Q15,2)</f>
        <v>35683.199999999997</v>
      </c>
      <c r="P15" s="10">
        <f>M23+M24+M25+M26+M27+M36+M38+M41+M61+M68+M95+M96+M101+M109+M111+M112+M113+M119</f>
        <v>102022.01999999999</v>
      </c>
      <c r="Q15" s="82">
        <v>165.2</v>
      </c>
      <c r="R15" s="82">
        <v>3.44E-2</v>
      </c>
      <c r="S15" s="77">
        <f>N23+N24+N25+N26+N27+N36+N38+N41+N61+N68+N95+N96+N101+N109+N111+N112+N113+N119</f>
        <v>0</v>
      </c>
    </row>
    <row r="16" spans="1:19" ht="15.75" customHeight="1" x14ac:dyDescent="0.25">
      <c r="A16" s="8"/>
      <c r="C16" s="6" t="s">
        <v>20</v>
      </c>
      <c r="D16" s="49">
        <v>0</v>
      </c>
      <c r="E16" s="49">
        <v>0</v>
      </c>
      <c r="F16" s="49">
        <v>0</v>
      </c>
      <c r="G16" s="10">
        <f t="shared" si="0"/>
        <v>314334.90000000002</v>
      </c>
      <c r="H16" s="10">
        <f t="shared" si="1"/>
        <v>314334.90000000002</v>
      </c>
      <c r="I16" s="2">
        <v>15</v>
      </c>
      <c r="J16" s="11">
        <v>3788</v>
      </c>
      <c r="K16" s="12">
        <v>6321346</v>
      </c>
      <c r="L16" s="12">
        <f>J28+J29+J40+J45+J47+J50+J65+J67+J72+J82+J83+J85+J99+J117+J120</f>
        <v>4627238</v>
      </c>
      <c r="M16" s="12">
        <f>I28+I29+I40+I45+I47+I50+I65+I67+I72+I82+I83+I85+I99+I117+I120</f>
        <v>1694108</v>
      </c>
      <c r="N16" s="10">
        <f>K28+K29+K40+K45+K47+K50+K65+K67+K72+K82+K83+K85+K99+K117+K120</f>
        <v>0</v>
      </c>
      <c r="O16" s="10">
        <f>L28+L29+L40+L45+L47+L50+L65+L67+L72+L82+L83+L85+L99+L117+L120</f>
        <v>203079.22000000003</v>
      </c>
      <c r="P16" s="10">
        <f>M28+M29+M40+M45+M47+M50+M65+M67+M72+M82+M83+M85+M99+M117+M120</f>
        <v>111255.67999999999</v>
      </c>
      <c r="Q16" s="82">
        <v>6.1199999999999996E-3</v>
      </c>
      <c r="R16" s="82">
        <v>1.7600000000000001E-2</v>
      </c>
      <c r="S16" s="77">
        <f>N28+N29+N40+N45+N47+N50+N65+N67+N72+N82+N83+N85+N99+N117+N120</f>
        <v>0</v>
      </c>
    </row>
    <row r="17" spans="1:19" ht="15.75" customHeight="1" x14ac:dyDescent="0.25">
      <c r="A17" s="8"/>
      <c r="C17" s="6" t="s">
        <v>22</v>
      </c>
      <c r="D17" s="49">
        <v>0</v>
      </c>
      <c r="E17" s="49">
        <v>0</v>
      </c>
      <c r="F17" s="49">
        <v>0</v>
      </c>
      <c r="G17" s="10">
        <f t="shared" si="0"/>
        <v>478079.33999999997</v>
      </c>
      <c r="H17" s="10">
        <f>P17+O17+N17+S17</f>
        <v>478079.33999999997</v>
      </c>
      <c r="I17" s="2">
        <v>4</v>
      </c>
      <c r="J17" s="11">
        <v>5615</v>
      </c>
      <c r="K17" s="12">
        <v>11113732</v>
      </c>
      <c r="L17" s="12">
        <f>J30+J37+J46+J110</f>
        <v>4695765</v>
      </c>
      <c r="M17" s="12">
        <f>I30+I37+I46+I110</f>
        <v>6417967</v>
      </c>
      <c r="N17" s="10">
        <f>K30+K37+K46+K110</f>
        <v>0</v>
      </c>
      <c r="O17" s="10">
        <f>L30+L37+L46+L110</f>
        <v>283811.3</v>
      </c>
      <c r="P17" s="10">
        <f>M30+M37+M46+M110</f>
        <v>194268.03999999998</v>
      </c>
      <c r="Q17" s="82">
        <v>5.77E-3</v>
      </c>
      <c r="R17" s="82">
        <v>1.7479999999999999E-2</v>
      </c>
      <c r="S17" s="77">
        <f>N30+N37+N46+N110</f>
        <v>0</v>
      </c>
    </row>
    <row r="18" spans="1:19" ht="15.75" customHeight="1" thickBot="1" x14ac:dyDescent="0.3">
      <c r="A18" s="8"/>
      <c r="C18" s="6" t="s">
        <v>21</v>
      </c>
      <c r="D18" s="57">
        <v>0</v>
      </c>
      <c r="E18" s="57">
        <v>0</v>
      </c>
      <c r="F18" s="57">
        <v>0</v>
      </c>
      <c r="G18" s="50">
        <f t="shared" si="0"/>
        <v>909966.72</v>
      </c>
      <c r="H18" s="50">
        <f>P18+O18+N18+S18</f>
        <v>909966.72</v>
      </c>
      <c r="I18" s="58">
        <v>1</v>
      </c>
      <c r="J18" s="59">
        <v>10972</v>
      </c>
      <c r="K18" s="60">
        <v>25099592</v>
      </c>
      <c r="L18" s="12">
        <f t="shared" si="2"/>
        <v>0</v>
      </c>
      <c r="M18" s="60">
        <v>25099592</v>
      </c>
      <c r="N18" s="50">
        <f>K31</f>
        <v>0</v>
      </c>
      <c r="O18" s="50">
        <f>L31</f>
        <v>498835.4</v>
      </c>
      <c r="P18" s="50">
        <f>M31</f>
        <v>411131.32</v>
      </c>
      <c r="Q18" s="83">
        <v>5.1900000000000002E-3</v>
      </c>
      <c r="R18" s="83">
        <v>1.6379999999999999E-2</v>
      </c>
      <c r="S18" s="78">
        <f>N31</f>
        <v>0</v>
      </c>
    </row>
    <row r="19" spans="1:19" ht="15.75" customHeight="1" thickBot="1" x14ac:dyDescent="0.3">
      <c r="A19" s="8"/>
      <c r="B19" s="8"/>
      <c r="C19" s="8"/>
      <c r="D19" s="61" t="s">
        <v>310</v>
      </c>
      <c r="E19" s="61" t="s">
        <v>310</v>
      </c>
      <c r="F19" s="61" t="s">
        <v>310</v>
      </c>
      <c r="G19" s="51">
        <f>SUBTOTAL(9,G11:G18)</f>
        <v>1949488.43</v>
      </c>
      <c r="H19" s="75">
        <f>SUM(H11:H18)</f>
        <v>1949488.43</v>
      </c>
      <c r="I19" s="62">
        <f>SUM(I11:I18)</f>
        <v>98</v>
      </c>
      <c r="J19" s="63">
        <f>SUM(J11:J18)</f>
        <v>20375</v>
      </c>
      <c r="K19" s="64">
        <f t="shared" ref="K19" si="3">SUM(K11:K18)</f>
        <v>47887579</v>
      </c>
      <c r="L19" s="64">
        <f>SUM(L11:L18)</f>
        <v>13549012</v>
      </c>
      <c r="M19" s="64">
        <f>SUM(M11:M18)</f>
        <v>34338567</v>
      </c>
      <c r="N19" s="65">
        <f>SUM(N11:N18)</f>
        <v>0</v>
      </c>
      <c r="O19" s="65"/>
      <c r="P19" s="65"/>
      <c r="Q19" s="66"/>
      <c r="R19" s="67"/>
      <c r="S19" s="79"/>
    </row>
    <row r="20" spans="1:19" ht="15.75" customHeight="1" x14ac:dyDescent="0.25">
      <c r="A20" s="8"/>
      <c r="B20" s="8"/>
      <c r="C20" s="8"/>
      <c r="D20" s="52"/>
      <c r="F20" s="53"/>
      <c r="G20" s="53"/>
      <c r="H20" s="53"/>
      <c r="I20" s="54"/>
      <c r="J20" s="54"/>
      <c r="K20" s="53"/>
      <c r="L20" s="55"/>
      <c r="M20" s="53"/>
      <c r="N20" s="53"/>
      <c r="O20" s="55"/>
      <c r="P20" s="55"/>
    </row>
    <row r="21" spans="1:19" ht="15.75" x14ac:dyDescent="0.25">
      <c r="A21" s="13"/>
      <c r="B21" s="56" t="s">
        <v>328</v>
      </c>
      <c r="C21" s="14"/>
      <c r="E21" s="15"/>
    </row>
    <row r="22" spans="1:19" s="3" customFormat="1" ht="51.75" customHeight="1" x14ac:dyDescent="0.25">
      <c r="A22" s="45" t="s">
        <v>34</v>
      </c>
      <c r="B22" s="45" t="s">
        <v>35</v>
      </c>
      <c r="C22" s="46" t="s">
        <v>33</v>
      </c>
      <c r="D22" s="45" t="s">
        <v>37</v>
      </c>
      <c r="E22" s="45" t="s">
        <v>36</v>
      </c>
      <c r="F22" s="45" t="s">
        <v>38</v>
      </c>
      <c r="G22" s="45" t="s">
        <v>303</v>
      </c>
      <c r="H22" s="45" t="s">
        <v>309</v>
      </c>
      <c r="I22" s="45" t="s">
        <v>344</v>
      </c>
      <c r="J22" s="45" t="s">
        <v>345</v>
      </c>
      <c r="K22" s="45" t="s">
        <v>8</v>
      </c>
      <c r="L22" s="45" t="s">
        <v>6</v>
      </c>
      <c r="M22" s="45" t="s">
        <v>7</v>
      </c>
      <c r="N22" s="45" t="s">
        <v>340</v>
      </c>
      <c r="O22" s="47" t="s">
        <v>316</v>
      </c>
    </row>
    <row r="23" spans="1:19" ht="15" customHeight="1" x14ac:dyDescent="0.25">
      <c r="A23" s="102">
        <v>1</v>
      </c>
      <c r="B23" s="16">
        <v>1</v>
      </c>
      <c r="C23" s="103" t="s">
        <v>28</v>
      </c>
      <c r="D23" s="22" t="s">
        <v>318</v>
      </c>
      <c r="E23" s="18" t="s">
        <v>209</v>
      </c>
      <c r="F23" s="18" t="s">
        <v>210</v>
      </c>
      <c r="G23" s="16" t="s">
        <v>31</v>
      </c>
      <c r="H23" s="19"/>
      <c r="I23" s="20"/>
      <c r="J23" s="20">
        <v>326960</v>
      </c>
      <c r="K23" s="21">
        <f>ROUND($D$15*I23,2)+ROUND($E$15*J23,2)</f>
        <v>0</v>
      </c>
      <c r="L23" s="21">
        <f>ROUND(12*$Q$15,2)</f>
        <v>1982.4</v>
      </c>
      <c r="M23" s="21">
        <f>ROUND((I23+J23)*$R$15,2)</f>
        <v>11247.42</v>
      </c>
      <c r="N23" s="21">
        <f>ROUND(12*$F$15,2)</f>
        <v>0</v>
      </c>
      <c r="O23" s="96">
        <f>SUM(M23:M31)+SUM(L23:L31)+SUM(K23:K31)+SUM(N23:N31)</f>
        <v>1274789.3700000001</v>
      </c>
      <c r="P23" s="3"/>
      <c r="R23" s="3"/>
    </row>
    <row r="24" spans="1:19" ht="15" customHeight="1" x14ac:dyDescent="0.25">
      <c r="A24" s="102"/>
      <c r="B24" s="16">
        <f>B23+1</f>
        <v>2</v>
      </c>
      <c r="C24" s="103"/>
      <c r="D24" s="17" t="s">
        <v>211</v>
      </c>
      <c r="E24" s="18" t="s">
        <v>212</v>
      </c>
      <c r="F24" s="18" t="s">
        <v>213</v>
      </c>
      <c r="G24" s="16" t="s">
        <v>31</v>
      </c>
      <c r="H24" s="19"/>
      <c r="I24" s="20"/>
      <c r="J24" s="20">
        <v>458477</v>
      </c>
      <c r="K24" s="21">
        <f>ROUND($D$15*I24,2)+ROUND($E$15*J24,2)</f>
        <v>0</v>
      </c>
      <c r="L24" s="21">
        <f>ROUND(12*$Q$15,2)</f>
        <v>1982.4</v>
      </c>
      <c r="M24" s="21">
        <f>ROUND((I24+J24)*$R$15,2)</f>
        <v>15771.61</v>
      </c>
      <c r="N24" s="21">
        <f>ROUND(12*$F$15,2)</f>
        <v>0</v>
      </c>
      <c r="O24" s="96"/>
      <c r="P24" s="3"/>
      <c r="Q24" s="3"/>
      <c r="R24" s="3"/>
    </row>
    <row r="25" spans="1:19" ht="15" customHeight="1" x14ac:dyDescent="0.25">
      <c r="A25" s="102"/>
      <c r="B25" s="16">
        <f t="shared" ref="B25:B48" si="4">B24+1</f>
        <v>3</v>
      </c>
      <c r="C25" s="103"/>
      <c r="D25" s="17" t="s">
        <v>214</v>
      </c>
      <c r="E25" s="18" t="s">
        <v>215</v>
      </c>
      <c r="F25" s="18" t="s">
        <v>216</v>
      </c>
      <c r="G25" s="16" t="s">
        <v>31</v>
      </c>
      <c r="H25" s="19"/>
      <c r="I25" s="20"/>
      <c r="J25" s="20">
        <v>139946</v>
      </c>
      <c r="K25" s="21">
        <f>ROUND($D$15*I25,2)+ROUND($E$15*J25,2)</f>
        <v>0</v>
      </c>
      <c r="L25" s="21">
        <f>ROUND(12*$Q$15,2)</f>
        <v>1982.4</v>
      </c>
      <c r="M25" s="21">
        <f>ROUND((I25+J25)*$R$15,2)</f>
        <v>4814.1400000000003</v>
      </c>
      <c r="N25" s="21">
        <f>ROUND(12*$F$15,2)</f>
        <v>0</v>
      </c>
      <c r="O25" s="96"/>
      <c r="P25" s="3"/>
      <c r="Q25" s="3"/>
      <c r="R25" s="3"/>
    </row>
    <row r="26" spans="1:19" ht="15" customHeight="1" x14ac:dyDescent="0.25">
      <c r="A26" s="102"/>
      <c r="B26" s="16">
        <f t="shared" si="4"/>
        <v>4</v>
      </c>
      <c r="C26" s="103"/>
      <c r="D26" s="17" t="s">
        <v>217</v>
      </c>
      <c r="E26" s="18" t="s">
        <v>218</v>
      </c>
      <c r="F26" s="18" t="s">
        <v>219</v>
      </c>
      <c r="G26" s="16" t="s">
        <v>31</v>
      </c>
      <c r="H26" s="19"/>
      <c r="I26" s="20"/>
      <c r="J26" s="20">
        <v>142167</v>
      </c>
      <c r="K26" s="21">
        <f>ROUND($D$15*I26,2)+ROUND($E$15*J26,2)</f>
        <v>0</v>
      </c>
      <c r="L26" s="21">
        <f>ROUND(12*$Q$15,2)</f>
        <v>1982.4</v>
      </c>
      <c r="M26" s="21">
        <f>ROUND((I26+J26)*$R$15,2)</f>
        <v>4890.54</v>
      </c>
      <c r="N26" s="21">
        <f>ROUND(12*$F$15,2)</f>
        <v>0</v>
      </c>
      <c r="O26" s="96"/>
      <c r="P26" s="3"/>
    </row>
    <row r="27" spans="1:19" ht="15" customHeight="1" x14ac:dyDescent="0.25">
      <c r="A27" s="102"/>
      <c r="B27" s="16">
        <f t="shared" si="4"/>
        <v>5</v>
      </c>
      <c r="C27" s="103"/>
      <c r="D27" s="17" t="s">
        <v>220</v>
      </c>
      <c r="E27" s="18" t="s">
        <v>221</v>
      </c>
      <c r="F27" s="18" t="s">
        <v>222</v>
      </c>
      <c r="G27" s="16" t="s">
        <v>31</v>
      </c>
      <c r="H27" s="19"/>
      <c r="I27" s="20"/>
      <c r="J27" s="20">
        <v>174000</v>
      </c>
      <c r="K27" s="21">
        <f>ROUND($D$15*I27,2)+ROUND($E$15*J27,2)</f>
        <v>0</v>
      </c>
      <c r="L27" s="21">
        <f>ROUND(12*$Q$15,2)</f>
        <v>1982.4</v>
      </c>
      <c r="M27" s="21">
        <f>ROUND((I27+J27)*$R$15,2)</f>
        <v>5985.6</v>
      </c>
      <c r="N27" s="21">
        <f>ROUND(12*$F$15,2)</f>
        <v>0</v>
      </c>
      <c r="O27" s="96"/>
      <c r="P27" s="3"/>
    </row>
    <row r="28" spans="1:19" ht="15" customHeight="1" x14ac:dyDescent="0.25">
      <c r="A28" s="102"/>
      <c r="B28" s="16">
        <f t="shared" si="4"/>
        <v>6</v>
      </c>
      <c r="C28" s="103"/>
      <c r="D28" s="17" t="s">
        <v>257</v>
      </c>
      <c r="E28" s="18" t="s">
        <v>258</v>
      </c>
      <c r="F28" s="18" t="s">
        <v>259</v>
      </c>
      <c r="G28" s="16" t="s">
        <v>304</v>
      </c>
      <c r="H28" s="19">
        <v>384</v>
      </c>
      <c r="I28" s="20">
        <v>393192</v>
      </c>
      <c r="J28" s="20">
        <v>181473</v>
      </c>
      <c r="K28" s="21">
        <f>ROUND($D$16*I28,2)+ROUND($E$16*J28,2)</f>
        <v>0</v>
      </c>
      <c r="L28" s="21">
        <f>ROUND(8760*$Q$16*H28,2)</f>
        <v>20586.7</v>
      </c>
      <c r="M28" s="21">
        <f>ROUND($R$16*(I28+J28),2)</f>
        <v>10114.1</v>
      </c>
      <c r="N28" s="21">
        <f>ROUND(12*$F$16,2)</f>
        <v>0</v>
      </c>
      <c r="O28" s="96"/>
      <c r="P28" s="3"/>
    </row>
    <row r="29" spans="1:19" ht="15" customHeight="1" x14ac:dyDescent="0.25">
      <c r="A29" s="102"/>
      <c r="B29" s="16">
        <f t="shared" si="4"/>
        <v>7</v>
      </c>
      <c r="C29" s="103"/>
      <c r="D29" s="17" t="s">
        <v>260</v>
      </c>
      <c r="E29" s="18" t="s">
        <v>261</v>
      </c>
      <c r="F29" s="18" t="s">
        <v>262</v>
      </c>
      <c r="G29" s="16" t="s">
        <v>304</v>
      </c>
      <c r="H29" s="19">
        <v>384</v>
      </c>
      <c r="I29" s="20"/>
      <c r="J29" s="20">
        <v>582665</v>
      </c>
      <c r="K29" s="21">
        <f>ROUND($D$16*I29,2)+ROUND($E$16*J29,2)</f>
        <v>0</v>
      </c>
      <c r="L29" s="21">
        <f>ROUND(8760*$Q$16*H29,2)</f>
        <v>20586.7</v>
      </c>
      <c r="M29" s="21">
        <f>ROUND($R$16*(I29+J29),2)</f>
        <v>10254.9</v>
      </c>
      <c r="N29" s="21">
        <f>ROUND(12*$F$16,2)</f>
        <v>0</v>
      </c>
      <c r="O29" s="96"/>
      <c r="P29" s="3"/>
    </row>
    <row r="30" spans="1:19" ht="15" customHeight="1" x14ac:dyDescent="0.25">
      <c r="A30" s="102"/>
      <c r="B30" s="16">
        <f t="shared" si="4"/>
        <v>8</v>
      </c>
      <c r="C30" s="103"/>
      <c r="D30" s="22" t="s">
        <v>290</v>
      </c>
      <c r="E30" s="18" t="s">
        <v>291</v>
      </c>
      <c r="F30" s="18" t="s">
        <v>292</v>
      </c>
      <c r="G30" s="16" t="s">
        <v>32</v>
      </c>
      <c r="H30" s="19">
        <v>2740</v>
      </c>
      <c r="I30" s="20">
        <v>6416767</v>
      </c>
      <c r="J30" s="20"/>
      <c r="K30" s="21">
        <f>ROUND($D$17*I30,2)+ROUND($E$17*J30,2)</f>
        <v>0</v>
      </c>
      <c r="L30" s="21">
        <f>ROUND(8760*$Q$17*H30,2)</f>
        <v>138493.85</v>
      </c>
      <c r="M30" s="21">
        <f>ROUND($R$17*(I30+J30),2)</f>
        <v>112165.09</v>
      </c>
      <c r="N30" s="21">
        <v>0</v>
      </c>
      <c r="O30" s="96"/>
      <c r="P30" s="3"/>
    </row>
    <row r="31" spans="1:19" ht="15" customHeight="1" x14ac:dyDescent="0.25">
      <c r="A31" s="102"/>
      <c r="B31" s="16">
        <f t="shared" si="4"/>
        <v>9</v>
      </c>
      <c r="C31" s="103"/>
      <c r="D31" s="17" t="s">
        <v>300</v>
      </c>
      <c r="E31" s="18" t="s">
        <v>301</v>
      </c>
      <c r="F31" s="18" t="s">
        <v>302</v>
      </c>
      <c r="G31" s="16" t="s">
        <v>308</v>
      </c>
      <c r="H31" s="19">
        <v>10972</v>
      </c>
      <c r="I31" s="20">
        <v>25099592</v>
      </c>
      <c r="J31" s="20"/>
      <c r="K31" s="21">
        <f>ROUND(D18*I31/100,2)</f>
        <v>0</v>
      </c>
      <c r="L31" s="21">
        <f>ROUND(8760*$Q$18*H31,2)</f>
        <v>498835.4</v>
      </c>
      <c r="M31" s="21">
        <f>ROUND($R$18*(I31+J31),2)</f>
        <v>411131.32</v>
      </c>
      <c r="N31" s="21">
        <v>0</v>
      </c>
      <c r="O31" s="96"/>
      <c r="P31" s="3"/>
    </row>
    <row r="32" spans="1:19" ht="25.5" x14ac:dyDescent="0.25">
      <c r="A32" s="33">
        <v>2</v>
      </c>
      <c r="B32" s="33">
        <f t="shared" si="4"/>
        <v>10</v>
      </c>
      <c r="C32" s="34" t="s">
        <v>29</v>
      </c>
      <c r="D32" s="35" t="s">
        <v>78</v>
      </c>
      <c r="E32" s="36" t="s">
        <v>79</v>
      </c>
      <c r="F32" s="36" t="s">
        <v>80</v>
      </c>
      <c r="G32" s="33" t="s">
        <v>30</v>
      </c>
      <c r="H32" s="37"/>
      <c r="I32" s="38"/>
      <c r="J32" s="38">
        <v>96270</v>
      </c>
      <c r="K32" s="39">
        <f>ROUND($D$13*I32,2)+ROUND($E$13*J32,2)</f>
        <v>0</v>
      </c>
      <c r="L32" s="40">
        <f>ROUND(12*$Q$13,2)</f>
        <v>281.04000000000002</v>
      </c>
      <c r="M32" s="40">
        <f>ROUND((I32+J32)*$R$13,2)</f>
        <v>3812.29</v>
      </c>
      <c r="N32" s="40">
        <f>ROUND(12*$F$13,2)</f>
        <v>0</v>
      </c>
      <c r="O32" s="41">
        <f>M32+L32+K32+N32</f>
        <v>4093.33</v>
      </c>
      <c r="P32" s="3"/>
    </row>
    <row r="33" spans="1:16" ht="15" customHeight="1" x14ac:dyDescent="0.25">
      <c r="A33" s="102">
        <v>3</v>
      </c>
      <c r="B33" s="16">
        <f t="shared" si="4"/>
        <v>11</v>
      </c>
      <c r="C33" s="103" t="s">
        <v>82</v>
      </c>
      <c r="D33" s="22" t="s">
        <v>83</v>
      </c>
      <c r="E33" s="18" t="s">
        <v>84</v>
      </c>
      <c r="F33" s="18" t="s">
        <v>85</v>
      </c>
      <c r="G33" s="16" t="s">
        <v>30</v>
      </c>
      <c r="H33" s="19"/>
      <c r="I33" s="20">
        <v>61000</v>
      </c>
      <c r="J33" s="20"/>
      <c r="K33" s="21">
        <f>ROUND($D$13*I33,2)+ROUND($E$13*J33,2)</f>
        <v>0</v>
      </c>
      <c r="L33" s="23">
        <f>ROUND(12*$Q$13,2)</f>
        <v>281.04000000000002</v>
      </c>
      <c r="M33" s="23">
        <f>ROUND((I33+J33)*$R$13,2)</f>
        <v>2415.6</v>
      </c>
      <c r="N33" s="23">
        <v>0</v>
      </c>
      <c r="O33" s="96">
        <f>SUM(K33:K37)+SUM(L33:L37)+SUM(M33:M37)+SUM(N33:N37)</f>
        <v>64278.14</v>
      </c>
      <c r="P33" s="3"/>
    </row>
    <row r="34" spans="1:16" ht="15" customHeight="1" x14ac:dyDescent="0.25">
      <c r="A34" s="102"/>
      <c r="B34" s="16">
        <f>B33+1</f>
        <v>12</v>
      </c>
      <c r="C34" s="103"/>
      <c r="D34" s="22" t="s">
        <v>86</v>
      </c>
      <c r="E34" s="18" t="s">
        <v>84</v>
      </c>
      <c r="F34" s="18" t="s">
        <v>87</v>
      </c>
      <c r="G34" s="16" t="s">
        <v>30</v>
      </c>
      <c r="H34" s="24"/>
      <c r="I34" s="20">
        <v>84200</v>
      </c>
      <c r="J34" s="20"/>
      <c r="K34" s="21">
        <f>ROUND($D$13*I34,2)+ROUND($E$13*J34,2)</f>
        <v>0</v>
      </c>
      <c r="L34" s="23">
        <f>ROUND(12*$Q$13,2)</f>
        <v>281.04000000000002</v>
      </c>
      <c r="M34" s="23">
        <f>ROUND((I34+J34)*$R$13,2)</f>
        <v>3334.32</v>
      </c>
      <c r="N34" s="23">
        <v>0</v>
      </c>
      <c r="O34" s="96"/>
      <c r="P34" s="3"/>
    </row>
    <row r="35" spans="1:16" ht="15" customHeight="1" x14ac:dyDescent="0.25">
      <c r="A35" s="102"/>
      <c r="B35" s="16">
        <f t="shared" si="4"/>
        <v>13</v>
      </c>
      <c r="C35" s="103"/>
      <c r="D35" s="22" t="s">
        <v>88</v>
      </c>
      <c r="E35" s="18" t="s">
        <v>81</v>
      </c>
      <c r="F35" s="18" t="s">
        <v>89</v>
      </c>
      <c r="G35" s="16" t="s">
        <v>30</v>
      </c>
      <c r="H35" s="24"/>
      <c r="I35" s="20">
        <v>78400</v>
      </c>
      <c r="J35" s="20"/>
      <c r="K35" s="21">
        <f>ROUND($D$13*I35,2)+ROUND($E$13*J35,2)</f>
        <v>0</v>
      </c>
      <c r="L35" s="23">
        <f>ROUND(12*$Q$13,2)</f>
        <v>281.04000000000002</v>
      </c>
      <c r="M35" s="23">
        <f>ROUND((I35+J35)*$R$13,2)</f>
        <v>3104.64</v>
      </c>
      <c r="N35" s="23">
        <v>0</v>
      </c>
      <c r="O35" s="96"/>
      <c r="P35" s="3"/>
    </row>
    <row r="36" spans="1:16" ht="15" customHeight="1" x14ac:dyDescent="0.25">
      <c r="A36" s="102"/>
      <c r="B36" s="16">
        <f t="shared" si="4"/>
        <v>14</v>
      </c>
      <c r="C36" s="103"/>
      <c r="D36" s="22" t="s">
        <v>223</v>
      </c>
      <c r="E36" s="18" t="s">
        <v>224</v>
      </c>
      <c r="F36" s="18" t="s">
        <v>225</v>
      </c>
      <c r="G36" s="16" t="s">
        <v>31</v>
      </c>
      <c r="H36" s="19"/>
      <c r="I36" s="20">
        <v>206000</v>
      </c>
      <c r="J36" s="20"/>
      <c r="K36" s="21">
        <f>ROUND($D$15*I36,2)+ROUND($E$15*J36,2)</f>
        <v>0</v>
      </c>
      <c r="L36" s="21">
        <f>ROUND(12*$Q$15,2)</f>
        <v>1982.4</v>
      </c>
      <c r="M36" s="21">
        <f>ROUND((I36+J36)*$R$15,2)</f>
        <v>7086.4</v>
      </c>
      <c r="N36" s="21">
        <v>0</v>
      </c>
      <c r="O36" s="96"/>
      <c r="P36" s="3"/>
    </row>
    <row r="37" spans="1:16" ht="15" customHeight="1" x14ac:dyDescent="0.25">
      <c r="A37" s="102"/>
      <c r="B37" s="16">
        <f t="shared" si="4"/>
        <v>15</v>
      </c>
      <c r="C37" s="103"/>
      <c r="D37" s="17" t="s">
        <v>293</v>
      </c>
      <c r="E37" s="18" t="s">
        <v>294</v>
      </c>
      <c r="F37" s="18" t="s">
        <v>295</v>
      </c>
      <c r="G37" s="16" t="s">
        <v>32</v>
      </c>
      <c r="H37" s="19">
        <v>900</v>
      </c>
      <c r="I37" s="20">
        <v>1200</v>
      </c>
      <c r="J37" s="20"/>
      <c r="K37" s="21">
        <f>ROUND($D$17*I37,2)+ROUND($E$17*J37,2)</f>
        <v>0</v>
      </c>
      <c r="L37" s="21">
        <f>ROUND(8760*$Q$17*H37,2)</f>
        <v>45490.68</v>
      </c>
      <c r="M37" s="21">
        <f>ROUND($R$17*(I37+J37),2)</f>
        <v>20.98</v>
      </c>
      <c r="N37" s="21">
        <v>0</v>
      </c>
      <c r="O37" s="96"/>
      <c r="P37" s="3"/>
    </row>
    <row r="38" spans="1:16" ht="15" customHeight="1" x14ac:dyDescent="0.25">
      <c r="A38" s="33">
        <v>4</v>
      </c>
      <c r="B38" s="33">
        <f t="shared" si="4"/>
        <v>16</v>
      </c>
      <c r="C38" s="34" t="s">
        <v>226</v>
      </c>
      <c r="D38" s="42" t="s">
        <v>228</v>
      </c>
      <c r="E38" s="34" t="s">
        <v>227</v>
      </c>
      <c r="F38" s="34" t="s">
        <v>226</v>
      </c>
      <c r="G38" s="33" t="s">
        <v>31</v>
      </c>
      <c r="H38" s="37"/>
      <c r="I38" s="37"/>
      <c r="J38" s="38">
        <v>181730</v>
      </c>
      <c r="K38" s="39">
        <f>ROUND($D$15*I38,2)+ROUND($E$15*J38,2)</f>
        <v>0</v>
      </c>
      <c r="L38" s="39">
        <f>ROUND(12*$Q$15,2)</f>
        <v>1982.4</v>
      </c>
      <c r="M38" s="39">
        <f>ROUND((I38+J38)*$R$15,2)</f>
        <v>6251.51</v>
      </c>
      <c r="N38" s="39">
        <f>ROUND(12*$F$15,2)</f>
        <v>0</v>
      </c>
      <c r="O38" s="41">
        <f>M38+L38+K38+N38</f>
        <v>8233.91</v>
      </c>
      <c r="P38" s="3"/>
    </row>
    <row r="39" spans="1:16" ht="15" customHeight="1" x14ac:dyDescent="0.25">
      <c r="A39" s="102">
        <v>5</v>
      </c>
      <c r="B39" s="16">
        <f>B38+1</f>
        <v>17</v>
      </c>
      <c r="C39" s="103" t="s">
        <v>90</v>
      </c>
      <c r="D39" s="17" t="s">
        <v>92</v>
      </c>
      <c r="E39" s="18" t="s">
        <v>91</v>
      </c>
      <c r="F39" s="18" t="s">
        <v>93</v>
      </c>
      <c r="G39" s="16" t="s">
        <v>30</v>
      </c>
      <c r="H39" s="19"/>
      <c r="I39" s="20"/>
      <c r="J39" s="20">
        <v>19276</v>
      </c>
      <c r="K39" s="21">
        <f>ROUND($D$13*I39,2)+ROUND($E$13*J39,2)</f>
        <v>0</v>
      </c>
      <c r="L39" s="23">
        <f>ROUND(12*$Q$13,2)</f>
        <v>281.04000000000002</v>
      </c>
      <c r="M39" s="23">
        <f>ROUND((I39+J39)*$R$13,2)</f>
        <v>763.33</v>
      </c>
      <c r="N39" s="23">
        <f>ROUND(12*$F$13,2)</f>
        <v>0</v>
      </c>
      <c r="O39" s="96">
        <f>M39+L39+K39+K40+L40+M40+N39+N40</f>
        <v>28458.760000000002</v>
      </c>
      <c r="P39" s="3"/>
    </row>
    <row r="40" spans="1:16" ht="15" customHeight="1" x14ac:dyDescent="0.25">
      <c r="A40" s="102"/>
      <c r="B40" s="16">
        <f t="shared" si="4"/>
        <v>18</v>
      </c>
      <c r="C40" s="103"/>
      <c r="D40" s="17" t="s">
        <v>263</v>
      </c>
      <c r="E40" s="18" t="s">
        <v>91</v>
      </c>
      <c r="F40" s="18" t="s">
        <v>93</v>
      </c>
      <c r="G40" s="16" t="s">
        <v>304</v>
      </c>
      <c r="H40" s="19">
        <v>274</v>
      </c>
      <c r="I40" s="20"/>
      <c r="J40" s="20">
        <v>723007</v>
      </c>
      <c r="K40" s="21">
        <f>ROUND($D$16*I40,2)+ROUND($E$16*J40,2)</f>
        <v>0</v>
      </c>
      <c r="L40" s="21">
        <f>ROUND(8760*$Q$16*H40,2)</f>
        <v>14689.47</v>
      </c>
      <c r="M40" s="21">
        <f>ROUND($R$16*(I40+J40),2)</f>
        <v>12724.92</v>
      </c>
      <c r="N40" s="21">
        <f>ROUND(12*$F$16,2)</f>
        <v>0</v>
      </c>
      <c r="O40" s="96"/>
      <c r="P40" s="3"/>
    </row>
    <row r="41" spans="1:16" ht="15" customHeight="1" x14ac:dyDescent="0.25">
      <c r="A41" s="98">
        <v>6</v>
      </c>
      <c r="B41" s="33">
        <f t="shared" si="4"/>
        <v>19</v>
      </c>
      <c r="C41" s="104" t="s">
        <v>39</v>
      </c>
      <c r="D41" s="35" t="s">
        <v>229</v>
      </c>
      <c r="E41" s="34" t="s">
        <v>40</v>
      </c>
      <c r="F41" s="105" t="s">
        <v>39</v>
      </c>
      <c r="G41" s="33" t="s">
        <v>31</v>
      </c>
      <c r="H41" s="37"/>
      <c r="I41" s="37"/>
      <c r="J41" s="38">
        <v>125575</v>
      </c>
      <c r="K41" s="39">
        <f>ROUND($D$15*I41,2)+ROUND($E$15*J41,2)</f>
        <v>0</v>
      </c>
      <c r="L41" s="39">
        <f>ROUND(12*$Q$15,2)</f>
        <v>1982.4</v>
      </c>
      <c r="M41" s="39">
        <f>ROUND((I41+J41)*$R$15,2)</f>
        <v>4319.78</v>
      </c>
      <c r="N41" s="39">
        <f>ROUND(12*$F$15,2)</f>
        <v>0</v>
      </c>
      <c r="O41" s="106">
        <f>M41+L41+K41+K42+L42+M42+M43+L43+K43+N42+N43+N41</f>
        <v>6588.0100000000011</v>
      </c>
      <c r="P41" s="3"/>
    </row>
    <row r="42" spans="1:16" ht="15" customHeight="1" x14ac:dyDescent="0.25">
      <c r="A42" s="98"/>
      <c r="B42" s="33">
        <f t="shared" si="4"/>
        <v>20</v>
      </c>
      <c r="C42" s="104"/>
      <c r="D42" s="35" t="s">
        <v>41</v>
      </c>
      <c r="E42" s="34" t="s">
        <v>40</v>
      </c>
      <c r="F42" s="105"/>
      <c r="G42" s="33" t="s">
        <v>305</v>
      </c>
      <c r="H42" s="37"/>
      <c r="I42" s="38"/>
      <c r="J42" s="38">
        <v>22</v>
      </c>
      <c r="K42" s="39">
        <f>ROUND($D$11*I42,2)+ROUND($E$11*J42,2)</f>
        <v>0</v>
      </c>
      <c r="L42" s="40">
        <f>ROUND(12*$Q$11,2)</f>
        <v>50.52</v>
      </c>
      <c r="M42" s="40">
        <f>ROUND(J42*$R$11,2)</f>
        <v>1.23</v>
      </c>
      <c r="N42" s="40">
        <f>ROUND(12*$F$11,2)</f>
        <v>0</v>
      </c>
      <c r="O42" s="106"/>
      <c r="P42" s="3"/>
    </row>
    <row r="43" spans="1:16" ht="15" customHeight="1" x14ac:dyDescent="0.25">
      <c r="A43" s="98"/>
      <c r="B43" s="33">
        <f t="shared" si="4"/>
        <v>21</v>
      </c>
      <c r="C43" s="104"/>
      <c r="D43" s="35" t="s">
        <v>333</v>
      </c>
      <c r="E43" s="34" t="s">
        <v>40</v>
      </c>
      <c r="F43" s="105"/>
      <c r="G43" s="33" t="s">
        <v>305</v>
      </c>
      <c r="H43" s="37"/>
      <c r="I43" s="38"/>
      <c r="J43" s="38">
        <v>3292</v>
      </c>
      <c r="K43" s="39">
        <f>ROUND($D$11*I43,2)+ROUND($E$11*J43,2)</f>
        <v>0</v>
      </c>
      <c r="L43" s="40">
        <f>ROUND(12*$Q$11,2)</f>
        <v>50.52</v>
      </c>
      <c r="M43" s="40">
        <f>ROUND(J43*$R$11,2)</f>
        <v>183.56</v>
      </c>
      <c r="N43" s="40">
        <f>ROUND(12*$F$11,2)</f>
        <v>0</v>
      </c>
      <c r="O43" s="106"/>
      <c r="P43" s="3"/>
    </row>
    <row r="44" spans="1:16" ht="15" customHeight="1" x14ac:dyDescent="0.25">
      <c r="A44" s="102">
        <v>7</v>
      </c>
      <c r="B44" s="16">
        <f t="shared" si="4"/>
        <v>22</v>
      </c>
      <c r="C44" s="103" t="s">
        <v>94</v>
      </c>
      <c r="D44" s="17" t="s">
        <v>96</v>
      </c>
      <c r="E44" s="18" t="s">
        <v>95</v>
      </c>
      <c r="F44" s="18" t="s">
        <v>94</v>
      </c>
      <c r="G44" s="16" t="s">
        <v>30</v>
      </c>
      <c r="H44" s="19"/>
      <c r="I44" s="20"/>
      <c r="J44" s="20">
        <v>66055</v>
      </c>
      <c r="K44" s="21">
        <f>ROUND($D$13*I44,2)+ROUND($E$13*J44,2)</f>
        <v>0</v>
      </c>
      <c r="L44" s="23">
        <f>ROUND(12*$Q$13,2)</f>
        <v>281.04000000000002</v>
      </c>
      <c r="M44" s="23">
        <f>ROUND((I44+J44)*$R$13,2)</f>
        <v>2615.7800000000002</v>
      </c>
      <c r="N44" s="23">
        <f>ROUND(12*$F$13,2)</f>
        <v>0</v>
      </c>
      <c r="O44" s="96">
        <f>M44+L44+K44+K45+L45+M45+M46+L46+K46+N44+N45+N46</f>
        <v>66813.95</v>
      </c>
      <c r="P44" s="3"/>
    </row>
    <row r="45" spans="1:16" x14ac:dyDescent="0.25">
      <c r="A45" s="102"/>
      <c r="B45" s="16">
        <f t="shared" si="4"/>
        <v>23</v>
      </c>
      <c r="C45" s="103"/>
      <c r="D45" s="17" t="s">
        <v>264</v>
      </c>
      <c r="E45" s="18" t="s">
        <v>95</v>
      </c>
      <c r="F45" s="18" t="s">
        <v>94</v>
      </c>
      <c r="G45" s="16" t="s">
        <v>304</v>
      </c>
      <c r="H45" s="19">
        <v>121</v>
      </c>
      <c r="I45" s="20"/>
      <c r="J45" s="20">
        <v>98289</v>
      </c>
      <c r="K45" s="21">
        <f>ROUND($D$16*I45,2)+ROUND($E$16*J45,2)</f>
        <v>0</v>
      </c>
      <c r="L45" s="21">
        <f>ROUND(8760*$Q$16*H45,2)</f>
        <v>6486.96</v>
      </c>
      <c r="M45" s="21">
        <f>ROUND($R$16*(I45+J45),2)</f>
        <v>1729.89</v>
      </c>
      <c r="N45" s="21">
        <f>ROUND(12*$F$16,2)</f>
        <v>0</v>
      </c>
      <c r="O45" s="96"/>
      <c r="P45" s="3"/>
    </row>
    <row r="46" spans="1:16" ht="15" customHeight="1" x14ac:dyDescent="0.25">
      <c r="A46" s="102"/>
      <c r="B46" s="16">
        <f t="shared" si="4"/>
        <v>24</v>
      </c>
      <c r="C46" s="103"/>
      <c r="D46" s="17" t="s">
        <v>296</v>
      </c>
      <c r="E46" s="18" t="s">
        <v>95</v>
      </c>
      <c r="F46" s="18" t="s">
        <v>94</v>
      </c>
      <c r="G46" s="16" t="s">
        <v>32</v>
      </c>
      <c r="H46" s="19">
        <v>768</v>
      </c>
      <c r="I46" s="20"/>
      <c r="J46" s="20">
        <v>965765</v>
      </c>
      <c r="K46" s="21">
        <f>ROUND($D$17*I46,2)+ROUND($E$17*J46,2)</f>
        <v>0</v>
      </c>
      <c r="L46" s="21">
        <f>ROUND(8760*$Q$17*H46,2)</f>
        <v>38818.71</v>
      </c>
      <c r="M46" s="21">
        <f>ROUND($R$17*(J46+I46),2)</f>
        <v>16881.57</v>
      </c>
      <c r="N46" s="21">
        <f>ROUND(12*$F$17,2)</f>
        <v>0</v>
      </c>
      <c r="O46" s="96"/>
      <c r="P46" s="3"/>
    </row>
    <row r="47" spans="1:16" ht="15" customHeight="1" x14ac:dyDescent="0.25">
      <c r="A47" s="98">
        <v>8</v>
      </c>
      <c r="B47" s="33">
        <f t="shared" si="4"/>
        <v>25</v>
      </c>
      <c r="C47" s="99" t="s">
        <v>97</v>
      </c>
      <c r="D47" s="35" t="s">
        <v>266</v>
      </c>
      <c r="E47" s="34" t="s">
        <v>265</v>
      </c>
      <c r="F47" s="34" t="s">
        <v>97</v>
      </c>
      <c r="G47" s="33" t="s">
        <v>304</v>
      </c>
      <c r="H47" s="37">
        <v>132</v>
      </c>
      <c r="I47" s="38">
        <v>145649</v>
      </c>
      <c r="J47" s="38">
        <v>19467</v>
      </c>
      <c r="K47" s="39">
        <f>ROUND($D$16*I47,2)+ROUND($E$16*J47,2)</f>
        <v>0</v>
      </c>
      <c r="L47" s="39">
        <f>ROUND(8760*$Q$16*H47,2)</f>
        <v>7076.68</v>
      </c>
      <c r="M47" s="39">
        <f>ROUND($R$16*(I47+J47),2)</f>
        <v>2906.04</v>
      </c>
      <c r="N47" s="39">
        <f>ROUND(12*$F$16,2)</f>
        <v>0</v>
      </c>
      <c r="O47" s="97">
        <f>M47+L47+K47+K48+L48+M48+N47+N48</f>
        <v>11253.440000000002</v>
      </c>
      <c r="P47" s="3"/>
    </row>
    <row r="48" spans="1:16" ht="15" customHeight="1" x14ac:dyDescent="0.25">
      <c r="A48" s="98"/>
      <c r="B48" s="33">
        <f t="shared" si="4"/>
        <v>26</v>
      </c>
      <c r="C48" s="99"/>
      <c r="D48" s="35" t="s">
        <v>99</v>
      </c>
      <c r="E48" s="34" t="s">
        <v>98</v>
      </c>
      <c r="F48" s="34" t="s">
        <v>97</v>
      </c>
      <c r="G48" s="33" t="s">
        <v>30</v>
      </c>
      <c r="H48" s="37"/>
      <c r="I48" s="38">
        <v>24992</v>
      </c>
      <c r="J48" s="38"/>
      <c r="K48" s="39">
        <f>ROUND($D$13*I48,2)+ROUND($E$13*J48,2)</f>
        <v>0</v>
      </c>
      <c r="L48" s="40">
        <f>ROUND(12*$Q$13,2)</f>
        <v>281.04000000000002</v>
      </c>
      <c r="M48" s="40">
        <f>ROUND((I48+J48)*$R$13,2)</f>
        <v>989.68</v>
      </c>
      <c r="N48" s="40">
        <v>0</v>
      </c>
      <c r="O48" s="97"/>
      <c r="P48" s="3"/>
    </row>
    <row r="49" spans="1:17" ht="15" customHeight="1" x14ac:dyDescent="0.25">
      <c r="A49" s="102">
        <v>9</v>
      </c>
      <c r="B49" s="16">
        <f>B48+1</f>
        <v>27</v>
      </c>
      <c r="C49" s="103" t="s">
        <v>100</v>
      </c>
      <c r="D49" s="17" t="s">
        <v>102</v>
      </c>
      <c r="E49" s="18" t="s">
        <v>101</v>
      </c>
      <c r="F49" s="18" t="s">
        <v>100</v>
      </c>
      <c r="G49" s="16" t="s">
        <v>30</v>
      </c>
      <c r="H49" s="19"/>
      <c r="I49" s="20"/>
      <c r="J49" s="20">
        <v>26542</v>
      </c>
      <c r="K49" s="21">
        <f>ROUND($D$13*I49,2)+ROUND($E$13*J49,2)</f>
        <v>0</v>
      </c>
      <c r="L49" s="23">
        <f>ROUND(12*$Q$13,2)</f>
        <v>281.04000000000002</v>
      </c>
      <c r="M49" s="23">
        <f>ROUND((I49+J49)*$R$13,2)</f>
        <v>1051.06</v>
      </c>
      <c r="N49" s="23">
        <f>ROUND(12*$F$13,2)</f>
        <v>0</v>
      </c>
      <c r="O49" s="96">
        <f>M49+L49+K49+K50+L50+M50+N49+N50</f>
        <v>25137.050000000003</v>
      </c>
      <c r="P49" s="3"/>
    </row>
    <row r="50" spans="1:17" ht="15" customHeight="1" x14ac:dyDescent="0.25">
      <c r="A50" s="102"/>
      <c r="B50" s="16">
        <f>B49+1</f>
        <v>28</v>
      </c>
      <c r="C50" s="103"/>
      <c r="D50" s="17" t="s">
        <v>267</v>
      </c>
      <c r="E50" s="18" t="s">
        <v>101</v>
      </c>
      <c r="F50" s="18" t="s">
        <v>100</v>
      </c>
      <c r="G50" s="16" t="s">
        <v>304</v>
      </c>
      <c r="H50" s="19">
        <v>252</v>
      </c>
      <c r="I50" s="20"/>
      <c r="J50" s="20">
        <v>584939</v>
      </c>
      <c r="K50" s="21">
        <f>ROUND($D$16*I50,2)+ROUND($E$16*J50,2)</f>
        <v>0</v>
      </c>
      <c r="L50" s="21">
        <f>ROUND(8760*$Q$16*H50,2)</f>
        <v>13510.02</v>
      </c>
      <c r="M50" s="21">
        <f>ROUND($R$16*(I50+J50),2)</f>
        <v>10294.93</v>
      </c>
      <c r="N50" s="21">
        <f>ROUND(12*$F$16,2)</f>
        <v>0</v>
      </c>
      <c r="O50" s="96"/>
      <c r="P50" s="3"/>
    </row>
    <row r="51" spans="1:17" ht="51" x14ac:dyDescent="0.25">
      <c r="A51" s="33">
        <v>10</v>
      </c>
      <c r="B51" s="33">
        <f t="shared" ref="B51:B56" si="5">B50+1</f>
        <v>29</v>
      </c>
      <c r="C51" s="34" t="s">
        <v>42</v>
      </c>
      <c r="D51" s="35" t="s">
        <v>44</v>
      </c>
      <c r="E51" s="34" t="s">
        <v>43</v>
      </c>
      <c r="F51" s="34" t="s">
        <v>42</v>
      </c>
      <c r="G51" s="33" t="s">
        <v>305</v>
      </c>
      <c r="H51" s="37"/>
      <c r="I51" s="38"/>
      <c r="J51" s="38">
        <v>22</v>
      </c>
      <c r="K51" s="39">
        <f>ROUND($D$11*I51,2)+ROUND($E$11*J51,2)</f>
        <v>0</v>
      </c>
      <c r="L51" s="40">
        <f>ROUND(12*$Q$11,2)</f>
        <v>50.52</v>
      </c>
      <c r="M51" s="40">
        <f>ROUND(J51*$R$11,2)</f>
        <v>1.23</v>
      </c>
      <c r="N51" s="40">
        <f>ROUND(12*$F$11,2)</f>
        <v>0</v>
      </c>
      <c r="O51" s="41">
        <f>M51+L51+K51+N51</f>
        <v>51.75</v>
      </c>
      <c r="P51" s="3"/>
    </row>
    <row r="52" spans="1:17" ht="15" customHeight="1" x14ac:dyDescent="0.25">
      <c r="A52" s="102">
        <v>11</v>
      </c>
      <c r="B52" s="16">
        <f t="shared" si="5"/>
        <v>30</v>
      </c>
      <c r="C52" s="103" t="s">
        <v>103</v>
      </c>
      <c r="D52" s="22" t="s">
        <v>104</v>
      </c>
      <c r="E52" s="18" t="s">
        <v>105</v>
      </c>
      <c r="F52" s="18" t="s">
        <v>106</v>
      </c>
      <c r="G52" s="16" t="s">
        <v>30</v>
      </c>
      <c r="H52" s="19"/>
      <c r="I52" s="20"/>
      <c r="J52" s="20">
        <v>28585</v>
      </c>
      <c r="K52" s="21">
        <f>ROUND($D$13*I52,2)+ROUND($E$13*J52,2)</f>
        <v>0</v>
      </c>
      <c r="L52" s="23">
        <f>ROUND(12*$Q$13,2)</f>
        <v>281.04000000000002</v>
      </c>
      <c r="M52" s="23">
        <f>ROUND((I52+J52)*$R$13,2)</f>
        <v>1131.97</v>
      </c>
      <c r="N52" s="23">
        <f>ROUND(12*$F$13,2)</f>
        <v>0</v>
      </c>
      <c r="O52" s="96">
        <f>SUM(K52:K61)+SUM(L52:L61)+SUM(M52:M61)+SUM(N52:N61)</f>
        <v>37761.11</v>
      </c>
      <c r="P52" s="3"/>
    </row>
    <row r="53" spans="1:17" ht="15" customHeight="1" x14ac:dyDescent="0.25">
      <c r="A53" s="102"/>
      <c r="B53" s="16">
        <f t="shared" si="5"/>
        <v>31</v>
      </c>
      <c r="C53" s="103"/>
      <c r="D53" s="22" t="s">
        <v>107</v>
      </c>
      <c r="E53" s="18" t="s">
        <v>108</v>
      </c>
      <c r="F53" s="18" t="s">
        <v>109</v>
      </c>
      <c r="G53" s="16" t="s">
        <v>30</v>
      </c>
      <c r="H53" s="19"/>
      <c r="I53" s="20"/>
      <c r="J53" s="20">
        <v>46195</v>
      </c>
      <c r="K53" s="21">
        <f>ROUND($D$13*I53,2)+ROUND($E$13*J53,2)</f>
        <v>0</v>
      </c>
      <c r="L53" s="23">
        <f>ROUND(12*$Q$13,2)</f>
        <v>281.04000000000002</v>
      </c>
      <c r="M53" s="23">
        <f>ROUND((I53+J53)*$R$13,2)</f>
        <v>1829.32</v>
      </c>
      <c r="N53" s="23">
        <f>ROUND(12*$F$13,2)</f>
        <v>0</v>
      </c>
      <c r="O53" s="96"/>
      <c r="P53" s="3"/>
    </row>
    <row r="54" spans="1:17" ht="15" customHeight="1" x14ac:dyDescent="0.25">
      <c r="A54" s="102"/>
      <c r="B54" s="16">
        <f t="shared" si="5"/>
        <v>32</v>
      </c>
      <c r="C54" s="103"/>
      <c r="D54" s="22" t="s">
        <v>110</v>
      </c>
      <c r="E54" s="18" t="s">
        <v>111</v>
      </c>
      <c r="F54" s="18" t="s">
        <v>112</v>
      </c>
      <c r="G54" s="16" t="s">
        <v>30</v>
      </c>
      <c r="H54" s="19"/>
      <c r="I54" s="20">
        <v>60500</v>
      </c>
      <c r="J54" s="20"/>
      <c r="K54" s="21">
        <f>ROUND($D$13*I54,2)+ROUND($E$13*J54,2)</f>
        <v>0</v>
      </c>
      <c r="L54" s="23">
        <f>ROUND(12*$Q$13,2)</f>
        <v>281.04000000000002</v>
      </c>
      <c r="M54" s="23">
        <f>ROUND((I54+J54)*$R$13,2)</f>
        <v>2395.8000000000002</v>
      </c>
      <c r="N54" s="23">
        <v>0</v>
      </c>
      <c r="O54" s="96"/>
      <c r="P54" s="3"/>
    </row>
    <row r="55" spans="1:17" ht="15" customHeight="1" x14ac:dyDescent="0.25">
      <c r="A55" s="102"/>
      <c r="B55" s="16">
        <f t="shared" si="5"/>
        <v>33</v>
      </c>
      <c r="C55" s="103"/>
      <c r="D55" s="22" t="s">
        <v>113</v>
      </c>
      <c r="E55" s="18" t="s">
        <v>114</v>
      </c>
      <c r="F55" s="18" t="s">
        <v>115</v>
      </c>
      <c r="G55" s="16" t="s">
        <v>30</v>
      </c>
      <c r="H55" s="19"/>
      <c r="I55" s="20"/>
      <c r="J55" s="20">
        <v>42410</v>
      </c>
      <c r="K55" s="21">
        <f>ROUND($D$13*I55,2)+ROUND($E$13*J55,2)</f>
        <v>0</v>
      </c>
      <c r="L55" s="23">
        <f>ROUND(12*$Q$13,2)</f>
        <v>281.04000000000002</v>
      </c>
      <c r="M55" s="23">
        <f>ROUND((I55+J55)*$R$13,2)</f>
        <v>1679.44</v>
      </c>
      <c r="N55" s="23">
        <f>ROUND(12*$F$13,2)</f>
        <v>0</v>
      </c>
      <c r="O55" s="96"/>
      <c r="P55" s="3"/>
    </row>
    <row r="56" spans="1:17" ht="15" customHeight="1" x14ac:dyDescent="0.25">
      <c r="A56" s="102"/>
      <c r="B56" s="16">
        <f t="shared" si="5"/>
        <v>34</v>
      </c>
      <c r="C56" s="103"/>
      <c r="D56" s="22" t="s">
        <v>317</v>
      </c>
      <c r="E56" s="18" t="s">
        <v>116</v>
      </c>
      <c r="F56" s="18" t="s">
        <v>117</v>
      </c>
      <c r="G56" s="16" t="s">
        <v>30</v>
      </c>
      <c r="H56" s="19"/>
      <c r="I56" s="20"/>
      <c r="J56" s="20">
        <v>118710</v>
      </c>
      <c r="K56" s="21">
        <f>ROUND($D$13*I56,2)+ROUND($E$13*J56,2)</f>
        <v>0</v>
      </c>
      <c r="L56" s="23">
        <f>ROUND(12*$Q$13,2)</f>
        <v>281.04000000000002</v>
      </c>
      <c r="M56" s="23">
        <f>ROUND((I56+J56)*$R$13,2)</f>
        <v>4700.92</v>
      </c>
      <c r="N56" s="23">
        <f>ROUND(12*$F$13,2)</f>
        <v>0</v>
      </c>
      <c r="O56" s="96"/>
      <c r="P56" s="3"/>
    </row>
    <row r="57" spans="1:17" ht="15" customHeight="1" x14ac:dyDescent="0.25">
      <c r="A57" s="102"/>
      <c r="B57" s="16">
        <f>B56+1</f>
        <v>35</v>
      </c>
      <c r="C57" s="103"/>
      <c r="D57" s="22" t="s">
        <v>319</v>
      </c>
      <c r="E57" s="18" t="s">
        <v>200</v>
      </c>
      <c r="F57" s="18" t="s">
        <v>201</v>
      </c>
      <c r="G57" s="16" t="s">
        <v>307</v>
      </c>
      <c r="H57" s="19"/>
      <c r="I57" s="20">
        <v>83215</v>
      </c>
      <c r="J57" s="20"/>
      <c r="K57" s="21">
        <f>ROUND($D$14*I57,2)+ROUND($E$14*J57,2)</f>
        <v>0</v>
      </c>
      <c r="L57" s="23">
        <f>ROUND(12*$Q$14,2)</f>
        <v>305.27999999999997</v>
      </c>
      <c r="M57" s="23">
        <f>ROUND((I57+J57)*$R$14,2)</f>
        <v>3295.31</v>
      </c>
      <c r="N57" s="23">
        <v>0</v>
      </c>
      <c r="O57" s="96"/>
      <c r="P57" s="3"/>
    </row>
    <row r="58" spans="1:17" ht="15" customHeight="1" x14ac:dyDescent="0.25">
      <c r="A58" s="102"/>
      <c r="B58" s="16">
        <f t="shared" ref="B58:B65" si="6">B57+1</f>
        <v>36</v>
      </c>
      <c r="C58" s="103"/>
      <c r="D58" s="22" t="s">
        <v>320</v>
      </c>
      <c r="E58" s="18" t="s">
        <v>202</v>
      </c>
      <c r="F58" s="18" t="s">
        <v>203</v>
      </c>
      <c r="G58" s="16" t="s">
        <v>307</v>
      </c>
      <c r="H58" s="19"/>
      <c r="I58" s="20">
        <v>14623</v>
      </c>
      <c r="J58" s="20">
        <v>100067</v>
      </c>
      <c r="K58" s="21">
        <f>ROUND($D$14*I58,2)+ROUND($E$14*J58,2)</f>
        <v>0</v>
      </c>
      <c r="L58" s="23">
        <f>ROUND(12*$Q$14,2)</f>
        <v>305.27999999999997</v>
      </c>
      <c r="M58" s="23">
        <f>ROUND((I58+J58)*$R$14,2)</f>
        <v>4541.72</v>
      </c>
      <c r="N58" s="23">
        <f>ROUND(12*$F$14,2)</f>
        <v>0</v>
      </c>
      <c r="O58" s="96"/>
      <c r="P58" s="3"/>
      <c r="Q58" s="81"/>
    </row>
    <row r="59" spans="1:17" ht="15" customHeight="1" x14ac:dyDescent="0.25">
      <c r="A59" s="102"/>
      <c r="B59" s="16">
        <f t="shared" si="6"/>
        <v>37</v>
      </c>
      <c r="C59" s="103"/>
      <c r="D59" s="22" t="s">
        <v>321</v>
      </c>
      <c r="E59" s="18" t="s">
        <v>204</v>
      </c>
      <c r="F59" s="18" t="s">
        <v>117</v>
      </c>
      <c r="G59" s="16" t="s">
        <v>307</v>
      </c>
      <c r="H59" s="19"/>
      <c r="I59" s="19"/>
      <c r="J59" s="20">
        <v>121080</v>
      </c>
      <c r="K59" s="21">
        <f>ROUND($D$14*I59,2)+ROUND($E$14*J59,2)</f>
        <v>0</v>
      </c>
      <c r="L59" s="23">
        <f>ROUND(12*$Q$14,2)</f>
        <v>305.27999999999997</v>
      </c>
      <c r="M59" s="23">
        <f>ROUND((I59+J59)*$R$14,2)</f>
        <v>4794.7700000000004</v>
      </c>
      <c r="N59" s="23">
        <f>ROUND(12*$F$14,2)</f>
        <v>0</v>
      </c>
      <c r="O59" s="96"/>
      <c r="P59" s="3"/>
    </row>
    <row r="60" spans="1:17" ht="15" customHeight="1" x14ac:dyDescent="0.25">
      <c r="A60" s="102"/>
      <c r="B60" s="16">
        <f t="shared" si="6"/>
        <v>38</v>
      </c>
      <c r="C60" s="103"/>
      <c r="D60" s="22" t="s">
        <v>322</v>
      </c>
      <c r="E60" s="18" t="s">
        <v>205</v>
      </c>
      <c r="F60" s="18" t="s">
        <v>117</v>
      </c>
      <c r="G60" s="16" t="s">
        <v>307</v>
      </c>
      <c r="H60" s="19"/>
      <c r="I60" s="19"/>
      <c r="J60" s="20">
        <v>120730</v>
      </c>
      <c r="K60" s="21">
        <f>ROUND($D$14*I60,2)+ROUND($E$14*J60,2)</f>
        <v>0</v>
      </c>
      <c r="L60" s="23">
        <f>ROUND(12*$Q$14,2)</f>
        <v>305.27999999999997</v>
      </c>
      <c r="M60" s="23">
        <f>ROUND((I60+J60)*$R$14,2)</f>
        <v>4780.91</v>
      </c>
      <c r="N60" s="23">
        <f>ROUND(12*$F$14,2)</f>
        <v>0</v>
      </c>
      <c r="O60" s="96"/>
      <c r="P60" s="3"/>
    </row>
    <row r="61" spans="1:17" ht="15" customHeight="1" x14ac:dyDescent="0.25">
      <c r="A61" s="102"/>
      <c r="B61" s="16">
        <f t="shared" si="6"/>
        <v>39</v>
      </c>
      <c r="C61" s="103"/>
      <c r="D61" s="22" t="s">
        <v>323</v>
      </c>
      <c r="E61" s="18" t="s">
        <v>230</v>
      </c>
      <c r="F61" s="18" t="s">
        <v>203</v>
      </c>
      <c r="G61" s="16" t="s">
        <v>31</v>
      </c>
      <c r="H61" s="19"/>
      <c r="I61" s="19"/>
      <c r="J61" s="20">
        <v>116344</v>
      </c>
      <c r="K61" s="21">
        <f>ROUND($D$15*I61,2)+ROUND($E$15*J61,2)</f>
        <v>0</v>
      </c>
      <c r="L61" s="21">
        <f>ROUND(12*$Q$15,2)</f>
        <v>1982.4</v>
      </c>
      <c r="M61" s="21">
        <f>ROUND((I61+J61)*$R$15,2)</f>
        <v>4002.23</v>
      </c>
      <c r="N61" s="21">
        <f>ROUND(12*$F$15,2)</f>
        <v>0</v>
      </c>
      <c r="O61" s="96"/>
      <c r="P61" s="3"/>
    </row>
    <row r="62" spans="1:17" ht="15" customHeight="1" x14ac:dyDescent="0.25">
      <c r="A62" s="98">
        <v>12</v>
      </c>
      <c r="B62" s="33">
        <f t="shared" si="6"/>
        <v>40</v>
      </c>
      <c r="C62" s="99" t="s">
        <v>118</v>
      </c>
      <c r="D62" s="35" t="s">
        <v>119</v>
      </c>
      <c r="E62" s="34" t="s">
        <v>120</v>
      </c>
      <c r="F62" s="34" t="s">
        <v>311</v>
      </c>
      <c r="G62" s="33" t="s">
        <v>30</v>
      </c>
      <c r="H62" s="43"/>
      <c r="I62" s="38"/>
      <c r="J62" s="38">
        <v>37889</v>
      </c>
      <c r="K62" s="39">
        <f>ROUND($D$13*I62,2)+ROUND($E$13*J62,2)</f>
        <v>0</v>
      </c>
      <c r="L62" s="40">
        <f>ROUND(12*$Q$13,2)</f>
        <v>281.04000000000002</v>
      </c>
      <c r="M62" s="40">
        <f>ROUND((I62+J62)*$R$13,2)</f>
        <v>1500.4</v>
      </c>
      <c r="N62" s="40">
        <f>ROUND(12*$F$13,2)</f>
        <v>0</v>
      </c>
      <c r="O62" s="97">
        <f>M62+L62+K62+K63+L63+M63+M64+L64+K64+K65+L65+M65+N62+N63+N64+N65</f>
        <v>13062.5</v>
      </c>
      <c r="P62" s="3"/>
    </row>
    <row r="63" spans="1:17" ht="15" customHeight="1" x14ac:dyDescent="0.25">
      <c r="A63" s="98"/>
      <c r="B63" s="33">
        <f t="shared" si="6"/>
        <v>41</v>
      </c>
      <c r="C63" s="99"/>
      <c r="D63" s="35" t="s">
        <v>121</v>
      </c>
      <c r="E63" s="34" t="s">
        <v>122</v>
      </c>
      <c r="F63" s="34" t="s">
        <v>312</v>
      </c>
      <c r="G63" s="33" t="s">
        <v>30</v>
      </c>
      <c r="H63" s="37"/>
      <c r="I63" s="38"/>
      <c r="J63" s="38">
        <v>27600</v>
      </c>
      <c r="K63" s="39">
        <f>ROUND($D$13*I63,2)+ROUND($E$13*J63,2)</f>
        <v>0</v>
      </c>
      <c r="L63" s="40">
        <f>ROUND(12*$Q$13,2)</f>
        <v>281.04000000000002</v>
      </c>
      <c r="M63" s="40">
        <f>ROUND((I63+J63)*$R$13,2)</f>
        <v>1092.96</v>
      </c>
      <c r="N63" s="40">
        <f>ROUND(12*$F$13,2)</f>
        <v>0</v>
      </c>
      <c r="O63" s="97"/>
      <c r="P63" s="3"/>
    </row>
    <row r="64" spans="1:17" ht="15" customHeight="1" x14ac:dyDescent="0.25">
      <c r="A64" s="98"/>
      <c r="B64" s="33">
        <f t="shared" si="6"/>
        <v>42</v>
      </c>
      <c r="C64" s="99"/>
      <c r="D64" s="35" t="s">
        <v>123</v>
      </c>
      <c r="E64" s="34" t="s">
        <v>124</v>
      </c>
      <c r="F64" s="34" t="s">
        <v>313</v>
      </c>
      <c r="G64" s="33" t="s">
        <v>30</v>
      </c>
      <c r="H64" s="37"/>
      <c r="I64" s="38"/>
      <c r="J64" s="38">
        <v>18372</v>
      </c>
      <c r="K64" s="39">
        <f>ROUND($D$13*I64,2)+ROUND($E$13*J64,2)</f>
        <v>0</v>
      </c>
      <c r="L64" s="40">
        <f>ROUND(12*$Q$13,2)</f>
        <v>281.04000000000002</v>
      </c>
      <c r="M64" s="40">
        <f>ROUND((I64+J64)*$R$13,2)</f>
        <v>727.53</v>
      </c>
      <c r="N64" s="40">
        <f>ROUND(12*$F$13,2)</f>
        <v>0</v>
      </c>
      <c r="O64" s="97"/>
      <c r="P64" s="3"/>
    </row>
    <row r="65" spans="1:16" ht="15" customHeight="1" x14ac:dyDescent="0.25">
      <c r="A65" s="98"/>
      <c r="B65" s="33">
        <f t="shared" si="6"/>
        <v>43</v>
      </c>
      <c r="C65" s="99"/>
      <c r="D65" s="35" t="s">
        <v>268</v>
      </c>
      <c r="E65" s="34" t="s">
        <v>269</v>
      </c>
      <c r="F65" s="34" t="s">
        <v>314</v>
      </c>
      <c r="G65" s="33" t="s">
        <v>304</v>
      </c>
      <c r="H65" s="37">
        <v>132</v>
      </c>
      <c r="I65" s="38"/>
      <c r="J65" s="38">
        <v>103512</v>
      </c>
      <c r="K65" s="39">
        <f>ROUND($D$16*I65,2)+ROUND($E$16*J65,2)</f>
        <v>0</v>
      </c>
      <c r="L65" s="39">
        <f>ROUND(8760*$Q$16*H65,2)</f>
        <v>7076.68</v>
      </c>
      <c r="M65" s="39">
        <f>ROUND($R$16*(I65+J65),2)</f>
        <v>1821.81</v>
      </c>
      <c r="N65" s="39">
        <f>ROUND(12*$F$16,2)</f>
        <v>0</v>
      </c>
      <c r="O65" s="97"/>
      <c r="P65" s="3"/>
    </row>
    <row r="66" spans="1:16" ht="15" customHeight="1" x14ac:dyDescent="0.25">
      <c r="A66" s="102">
        <v>13</v>
      </c>
      <c r="B66" s="16">
        <f>B65+1</f>
        <v>44</v>
      </c>
      <c r="C66" s="103" t="s">
        <v>58</v>
      </c>
      <c r="D66" s="17" t="s">
        <v>59</v>
      </c>
      <c r="E66" s="18" t="s">
        <v>60</v>
      </c>
      <c r="F66" s="18" t="s">
        <v>61</v>
      </c>
      <c r="G66" s="16" t="s">
        <v>306</v>
      </c>
      <c r="H66" s="19"/>
      <c r="I66" s="20">
        <v>8250</v>
      </c>
      <c r="J66" s="20"/>
      <c r="K66" s="21">
        <f>ROUND($D$12*I66,2)+ROUND($E$12*J66,2)</f>
        <v>0</v>
      </c>
      <c r="L66" s="23">
        <f>ROUND(12*$Q$12,2)</f>
        <v>107.28</v>
      </c>
      <c r="M66" s="23">
        <f>ROUND((I66+J66)*$R$12,2)</f>
        <v>363.08</v>
      </c>
      <c r="N66" s="23">
        <v>0</v>
      </c>
      <c r="O66" s="96">
        <f>SUM(K66:K71)+SUM(L66:L71)+SUM(M66:M71)+SUM(N66:N71)</f>
        <v>61322.560000000005</v>
      </c>
      <c r="P66" s="3"/>
    </row>
    <row r="67" spans="1:16" ht="15" customHeight="1" x14ac:dyDescent="0.25">
      <c r="A67" s="102"/>
      <c r="B67" s="16">
        <f t="shared" ref="B67:B74" si="7">B66+1</f>
        <v>45</v>
      </c>
      <c r="C67" s="103"/>
      <c r="D67" s="17" t="s">
        <v>270</v>
      </c>
      <c r="E67" s="18" t="s">
        <v>271</v>
      </c>
      <c r="F67" s="18" t="s">
        <v>272</v>
      </c>
      <c r="G67" s="16" t="s">
        <v>304</v>
      </c>
      <c r="H67" s="19">
        <v>549</v>
      </c>
      <c r="I67" s="20">
        <v>938567</v>
      </c>
      <c r="J67" s="20"/>
      <c r="K67" s="21">
        <f>ROUND($D$16*I67,2)+ROUND($E$16*J67,2)</f>
        <v>0</v>
      </c>
      <c r="L67" s="21">
        <f>ROUND(8760*$Q$16*H67,2)</f>
        <v>29432.55</v>
      </c>
      <c r="M67" s="21">
        <f>ROUND($R$16*(I67+J67),2)</f>
        <v>16518.78</v>
      </c>
      <c r="N67" s="21">
        <v>0</v>
      </c>
      <c r="O67" s="96"/>
      <c r="P67" s="3"/>
    </row>
    <row r="68" spans="1:16" ht="15" customHeight="1" x14ac:dyDescent="0.25">
      <c r="A68" s="102"/>
      <c r="B68" s="16">
        <f t="shared" si="7"/>
        <v>46</v>
      </c>
      <c r="C68" s="103"/>
      <c r="D68" s="17" t="s">
        <v>231</v>
      </c>
      <c r="E68" s="18" t="s">
        <v>232</v>
      </c>
      <c r="F68" s="18" t="s">
        <v>233</v>
      </c>
      <c r="G68" s="16" t="s">
        <v>31</v>
      </c>
      <c r="H68" s="19"/>
      <c r="I68" s="20">
        <v>137243</v>
      </c>
      <c r="J68" s="20"/>
      <c r="K68" s="21">
        <f>ROUND($D$15*I68,2)+ROUND($E$15*J68,2)</f>
        <v>0</v>
      </c>
      <c r="L68" s="21">
        <f>ROUND(12*$Q$15,2)</f>
        <v>1982.4</v>
      </c>
      <c r="M68" s="21">
        <f>ROUND((I68+J68)*$R$15,2)</f>
        <v>4721.16</v>
      </c>
      <c r="N68" s="21">
        <v>0</v>
      </c>
      <c r="O68" s="96"/>
      <c r="P68" s="3"/>
    </row>
    <row r="69" spans="1:16" ht="15" customHeight="1" x14ac:dyDescent="0.25">
      <c r="A69" s="102"/>
      <c r="B69" s="16">
        <f t="shared" si="7"/>
        <v>47</v>
      </c>
      <c r="C69" s="103"/>
      <c r="D69" s="17" t="s">
        <v>125</v>
      </c>
      <c r="E69" s="18" t="s">
        <v>126</v>
      </c>
      <c r="F69" s="18" t="s">
        <v>127</v>
      </c>
      <c r="G69" s="16" t="s">
        <v>30</v>
      </c>
      <c r="H69" s="19"/>
      <c r="I69" s="20">
        <v>87517</v>
      </c>
      <c r="J69" s="20"/>
      <c r="K69" s="21">
        <f>ROUND($D$13*I69,2)+ROUND($E$13*J69,2)</f>
        <v>0</v>
      </c>
      <c r="L69" s="23">
        <f>ROUND(12*$Q$13,2)</f>
        <v>281.04000000000002</v>
      </c>
      <c r="M69" s="23">
        <f>ROUND((I69+J69)*$R$13,2)</f>
        <v>3465.67</v>
      </c>
      <c r="N69" s="23">
        <v>0</v>
      </c>
      <c r="O69" s="96"/>
      <c r="P69" s="3"/>
    </row>
    <row r="70" spans="1:16" ht="15" customHeight="1" x14ac:dyDescent="0.25">
      <c r="A70" s="102"/>
      <c r="B70" s="16">
        <f t="shared" si="7"/>
        <v>48</v>
      </c>
      <c r="C70" s="103"/>
      <c r="D70" s="17" t="s">
        <v>128</v>
      </c>
      <c r="E70" s="18" t="s">
        <v>129</v>
      </c>
      <c r="F70" s="18" t="s">
        <v>130</v>
      </c>
      <c r="G70" s="16" t="s">
        <v>30</v>
      </c>
      <c r="H70" s="19"/>
      <c r="I70" s="20">
        <v>43175</v>
      </c>
      <c r="J70" s="20"/>
      <c r="K70" s="21">
        <f>ROUND($D$13*I70,2)+ROUND($E$13*J70,2)</f>
        <v>0</v>
      </c>
      <c r="L70" s="23">
        <f>ROUND(12*$Q$13,2)</f>
        <v>281.04000000000002</v>
      </c>
      <c r="M70" s="23">
        <f>ROUND((I70+J70)*$R$13,2)</f>
        <v>1709.73</v>
      </c>
      <c r="N70" s="23">
        <v>0</v>
      </c>
      <c r="O70" s="96"/>
      <c r="P70" s="3"/>
    </row>
    <row r="71" spans="1:16" ht="15" customHeight="1" x14ac:dyDescent="0.25">
      <c r="A71" s="102"/>
      <c r="B71" s="16">
        <f t="shared" si="7"/>
        <v>49</v>
      </c>
      <c r="C71" s="103"/>
      <c r="D71" s="17" t="s">
        <v>131</v>
      </c>
      <c r="E71" s="18" t="s">
        <v>132</v>
      </c>
      <c r="F71" s="18" t="s">
        <v>133</v>
      </c>
      <c r="G71" s="16" t="s">
        <v>30</v>
      </c>
      <c r="H71" s="19"/>
      <c r="I71" s="20">
        <v>55020</v>
      </c>
      <c r="J71" s="20"/>
      <c r="K71" s="21">
        <f>ROUND($D$13*I71,2)+ROUND($E$13*J71,2)</f>
        <v>0</v>
      </c>
      <c r="L71" s="23">
        <f>ROUND(12*$Q$13,2)</f>
        <v>281.04000000000002</v>
      </c>
      <c r="M71" s="23">
        <f>ROUND((I71+J71)*$R$13,2)</f>
        <v>2178.79</v>
      </c>
      <c r="N71" s="23">
        <v>0</v>
      </c>
      <c r="O71" s="96"/>
      <c r="P71" s="3"/>
    </row>
    <row r="72" spans="1:16" ht="15" customHeight="1" x14ac:dyDescent="0.25">
      <c r="A72" s="98">
        <v>14</v>
      </c>
      <c r="B72" s="33">
        <f t="shared" si="7"/>
        <v>50</v>
      </c>
      <c r="C72" s="99" t="s">
        <v>273</v>
      </c>
      <c r="D72" s="42" t="s">
        <v>274</v>
      </c>
      <c r="E72" s="34" t="s">
        <v>135</v>
      </c>
      <c r="F72" s="34" t="s">
        <v>273</v>
      </c>
      <c r="G72" s="33" t="s">
        <v>304</v>
      </c>
      <c r="H72" s="37">
        <v>154</v>
      </c>
      <c r="I72" s="38"/>
      <c r="J72" s="38">
        <v>282291</v>
      </c>
      <c r="K72" s="39">
        <f>ROUND($D$16*I72,2)+ROUND($E$16*J72,2)</f>
        <v>0</v>
      </c>
      <c r="L72" s="39">
        <f>ROUND(8760*$Q$16*H72,2)</f>
        <v>8256.1200000000008</v>
      </c>
      <c r="M72" s="39">
        <f>ROUND($R$16*(I72+J72),2)</f>
        <v>4968.32</v>
      </c>
      <c r="N72" s="39">
        <f>ROUND(12*$F$16,2)</f>
        <v>0</v>
      </c>
      <c r="O72" s="97">
        <f>M72+L72+K72+K73+L73+M73+N72+N73</f>
        <v>16251.660000000002</v>
      </c>
      <c r="P72" s="3"/>
    </row>
    <row r="73" spans="1:16" ht="15" customHeight="1" x14ac:dyDescent="0.25">
      <c r="A73" s="98"/>
      <c r="B73" s="33">
        <f t="shared" si="7"/>
        <v>51</v>
      </c>
      <c r="C73" s="99"/>
      <c r="D73" s="42" t="s">
        <v>136</v>
      </c>
      <c r="E73" s="34" t="s">
        <v>137</v>
      </c>
      <c r="F73" s="36" t="s">
        <v>134</v>
      </c>
      <c r="G73" s="33" t="s">
        <v>30</v>
      </c>
      <c r="H73" s="37"/>
      <c r="I73" s="38"/>
      <c r="J73" s="38">
        <v>69348</v>
      </c>
      <c r="K73" s="39">
        <f>ROUND($D$13*I73,2)+ROUND($E$13*J73,2)</f>
        <v>0</v>
      </c>
      <c r="L73" s="40">
        <f>ROUND(12*$Q$13,2)</f>
        <v>281.04000000000002</v>
      </c>
      <c r="M73" s="40">
        <f>ROUND((I73+J73)*$R$13,2)</f>
        <v>2746.18</v>
      </c>
      <c r="N73" s="40">
        <f>ROUND(12*$F$13,2)</f>
        <v>0</v>
      </c>
      <c r="O73" s="97"/>
      <c r="P73" s="3"/>
    </row>
    <row r="74" spans="1:16" ht="25.5" customHeight="1" x14ac:dyDescent="0.25">
      <c r="A74" s="25">
        <v>15</v>
      </c>
      <c r="B74" s="25">
        <f t="shared" si="7"/>
        <v>52</v>
      </c>
      <c r="C74" s="26" t="s">
        <v>45</v>
      </c>
      <c r="D74" s="27" t="s">
        <v>47</v>
      </c>
      <c r="E74" s="26" t="s">
        <v>46</v>
      </c>
      <c r="F74" s="26" t="s">
        <v>45</v>
      </c>
      <c r="G74" s="25" t="s">
        <v>305</v>
      </c>
      <c r="H74" s="28"/>
      <c r="I74" s="29"/>
      <c r="J74" s="29">
        <v>3300</v>
      </c>
      <c r="K74" s="30">
        <f>ROUND($D$11*I74,2)+ROUND($E$11*J74,2)</f>
        <v>0</v>
      </c>
      <c r="L74" s="31">
        <f>ROUND(12*$Q$11,2)</f>
        <v>50.52</v>
      </c>
      <c r="M74" s="31">
        <f>ROUND(J74*$R$11,2)</f>
        <v>184.01</v>
      </c>
      <c r="N74" s="31">
        <f>ROUND(12*$F$11,2)</f>
        <v>0</v>
      </c>
      <c r="O74" s="48">
        <f>M74+L74+K74+N74</f>
        <v>234.53</v>
      </c>
      <c r="P74" s="3"/>
    </row>
    <row r="75" spans="1:16" ht="25.5" customHeight="1" x14ac:dyDescent="0.25">
      <c r="A75" s="33">
        <v>16</v>
      </c>
      <c r="B75" s="33">
        <f>B74+1</f>
        <v>53</v>
      </c>
      <c r="C75" s="34" t="s">
        <v>138</v>
      </c>
      <c r="D75" s="35" t="s">
        <v>140</v>
      </c>
      <c r="E75" s="34" t="s">
        <v>139</v>
      </c>
      <c r="F75" s="34" t="s">
        <v>138</v>
      </c>
      <c r="G75" s="33" t="s">
        <v>30</v>
      </c>
      <c r="H75" s="37"/>
      <c r="I75" s="38"/>
      <c r="J75" s="38">
        <v>19700</v>
      </c>
      <c r="K75" s="39">
        <f>ROUND($D$13*I75,2)+ROUND($E$13*J75,2)</f>
        <v>0</v>
      </c>
      <c r="L75" s="40">
        <f>ROUND(12*$Q$13,2)</f>
        <v>281.04000000000002</v>
      </c>
      <c r="M75" s="40">
        <f>ROUND((I75+J75)*$R$13,2)</f>
        <v>780.12</v>
      </c>
      <c r="N75" s="40">
        <f>ROUND(12*$F$13,2)</f>
        <v>0</v>
      </c>
      <c r="O75" s="41">
        <f>M75+L75+K75+N75</f>
        <v>1061.1600000000001</v>
      </c>
      <c r="P75" s="3"/>
    </row>
    <row r="76" spans="1:16" ht="25.5" customHeight="1" x14ac:dyDescent="0.25">
      <c r="A76" s="16">
        <v>17</v>
      </c>
      <c r="B76" s="16">
        <f t="shared" ref="B76:B80" si="8">B75+1</f>
        <v>54</v>
      </c>
      <c r="C76" s="18" t="s">
        <v>141</v>
      </c>
      <c r="D76" s="22" t="s">
        <v>142</v>
      </c>
      <c r="E76" s="18" t="s">
        <v>143</v>
      </c>
      <c r="F76" s="18" t="s">
        <v>141</v>
      </c>
      <c r="G76" s="16" t="s">
        <v>30</v>
      </c>
      <c r="H76" s="19"/>
      <c r="I76" s="20"/>
      <c r="J76" s="20">
        <v>7165</v>
      </c>
      <c r="K76" s="21">
        <f>ROUND($D$13*I76,2)+ROUND($E$13*J76,2)</f>
        <v>0</v>
      </c>
      <c r="L76" s="23">
        <f>ROUND(12*$Q$13,2)</f>
        <v>281.04000000000002</v>
      </c>
      <c r="M76" s="23">
        <f>ROUND((I76+J76)*$R$13,2)</f>
        <v>283.73</v>
      </c>
      <c r="N76" s="23">
        <f>ROUND(12*$F$13,2)</f>
        <v>0</v>
      </c>
      <c r="O76" s="32">
        <f>M76+L76+K76+N76</f>
        <v>564.77</v>
      </c>
      <c r="P76" s="3"/>
    </row>
    <row r="77" spans="1:16" ht="25.5" customHeight="1" x14ac:dyDescent="0.25">
      <c r="A77" s="33">
        <v>18</v>
      </c>
      <c r="B77" s="33">
        <f t="shared" si="8"/>
        <v>55</v>
      </c>
      <c r="C77" s="34" t="s">
        <v>144</v>
      </c>
      <c r="D77" s="42" t="s">
        <v>324</v>
      </c>
      <c r="E77" s="34" t="s">
        <v>145</v>
      </c>
      <c r="F77" s="34" t="s">
        <v>144</v>
      </c>
      <c r="G77" s="33" t="s">
        <v>30</v>
      </c>
      <c r="H77" s="37"/>
      <c r="I77" s="38"/>
      <c r="J77" s="38">
        <v>21200</v>
      </c>
      <c r="K77" s="39">
        <f>ROUND($D$13*I77,2)+ROUND($E$13*J77,2)</f>
        <v>0</v>
      </c>
      <c r="L77" s="40">
        <f>ROUND(12*$Q$13,2)</f>
        <v>281.04000000000002</v>
      </c>
      <c r="M77" s="40">
        <f>ROUND((I77+J77)*$R$13,2)</f>
        <v>839.52</v>
      </c>
      <c r="N77" s="40">
        <f>ROUND(12*$F$13,2)</f>
        <v>0</v>
      </c>
      <c r="O77" s="41">
        <f>M77+L77+K77+N77</f>
        <v>1120.56</v>
      </c>
      <c r="P77" s="3"/>
    </row>
    <row r="78" spans="1:16" ht="25.5" customHeight="1" x14ac:dyDescent="0.25">
      <c r="A78" s="16">
        <v>19</v>
      </c>
      <c r="B78" s="16">
        <f t="shared" si="8"/>
        <v>56</v>
      </c>
      <c r="C78" s="18" t="s">
        <v>146</v>
      </c>
      <c r="D78" s="17" t="s">
        <v>148</v>
      </c>
      <c r="E78" s="18" t="s">
        <v>147</v>
      </c>
      <c r="F78" s="18" t="s">
        <v>146</v>
      </c>
      <c r="G78" s="16" t="s">
        <v>30</v>
      </c>
      <c r="H78" s="19"/>
      <c r="I78" s="20"/>
      <c r="J78" s="20">
        <v>21000</v>
      </c>
      <c r="K78" s="21">
        <f>ROUND($D$13*I78,2)+ROUND($E$13*J78,2)</f>
        <v>0</v>
      </c>
      <c r="L78" s="23">
        <f>ROUND(12*$Q$13,2)</f>
        <v>281.04000000000002</v>
      </c>
      <c r="M78" s="23">
        <f>ROUND((I78+J78)*$R$13,2)</f>
        <v>831.6</v>
      </c>
      <c r="N78" s="23">
        <f>ROUND(12*$F$13,2)</f>
        <v>0</v>
      </c>
      <c r="O78" s="32">
        <f>M78+L78+K78+N78</f>
        <v>1112.6400000000001</v>
      </c>
      <c r="P78" s="3"/>
    </row>
    <row r="79" spans="1:16" ht="25.5" x14ac:dyDescent="0.25">
      <c r="A79" s="86">
        <v>20</v>
      </c>
      <c r="B79" s="33">
        <f t="shared" si="8"/>
        <v>57</v>
      </c>
      <c r="C79" s="100" t="s">
        <v>48</v>
      </c>
      <c r="D79" s="42" t="s">
        <v>150</v>
      </c>
      <c r="E79" s="34" t="s">
        <v>149</v>
      </c>
      <c r="F79" s="34" t="s">
        <v>48</v>
      </c>
      <c r="G79" s="33" t="s">
        <v>30</v>
      </c>
      <c r="H79" s="37"/>
      <c r="I79" s="38"/>
      <c r="J79" s="38">
        <v>37578</v>
      </c>
      <c r="K79" s="39">
        <f>ROUND($D$13*I79,2)+ROUND($E$13*J79,2)</f>
        <v>0</v>
      </c>
      <c r="L79" s="40">
        <f>ROUND(12*$Q$13,2)</f>
        <v>281.04000000000002</v>
      </c>
      <c r="M79" s="40">
        <f>ROUND((I79+J79)*$R$13,2)</f>
        <v>1488.09</v>
      </c>
      <c r="N79" s="76">
        <f>ROUND(12*$F$13,2)</f>
        <v>0</v>
      </c>
      <c r="O79" s="84">
        <f>M79+L79+K79+K80+L80+M80+N80+N79</f>
        <v>2364.92</v>
      </c>
      <c r="P79" s="3"/>
    </row>
    <row r="80" spans="1:16" ht="25.5" x14ac:dyDescent="0.25">
      <c r="A80" s="88"/>
      <c r="B80" s="33">
        <f t="shared" si="8"/>
        <v>58</v>
      </c>
      <c r="C80" s="101"/>
      <c r="D80" s="42" t="s">
        <v>50</v>
      </c>
      <c r="E80" s="34" t="s">
        <v>49</v>
      </c>
      <c r="F80" s="34" t="s">
        <v>48</v>
      </c>
      <c r="G80" s="33" t="s">
        <v>306</v>
      </c>
      <c r="H80" s="37"/>
      <c r="I80" s="37"/>
      <c r="J80" s="38">
        <v>11100</v>
      </c>
      <c r="K80" s="39">
        <f>ROUND($D$12*I80,2)+ROUND($E$12*J80,2)</f>
        <v>0</v>
      </c>
      <c r="L80" s="40">
        <f>ROUND(12*$Q$12,2)</f>
        <v>107.28</v>
      </c>
      <c r="M80" s="40">
        <f>ROUND((I80+J80)*$R$12,2)</f>
        <v>488.51</v>
      </c>
      <c r="N80" s="40">
        <f>ROUND(12*$F$12,2)</f>
        <v>0</v>
      </c>
      <c r="O80" s="85"/>
      <c r="P80" s="3"/>
    </row>
    <row r="81" spans="1:16" ht="25.5" customHeight="1" x14ac:dyDescent="0.25">
      <c r="A81" s="92">
        <v>21</v>
      </c>
      <c r="B81" s="16">
        <f>B80+1</f>
        <v>59</v>
      </c>
      <c r="C81" s="94" t="s">
        <v>62</v>
      </c>
      <c r="D81" s="17" t="s">
        <v>63</v>
      </c>
      <c r="E81" s="18" t="s">
        <v>64</v>
      </c>
      <c r="F81" s="18" t="s">
        <v>65</v>
      </c>
      <c r="G81" s="16" t="s">
        <v>306</v>
      </c>
      <c r="H81" s="19"/>
      <c r="I81" s="19"/>
      <c r="J81" s="20">
        <v>5928</v>
      </c>
      <c r="K81" s="21">
        <f>ROUND($D$12*I81,2)+ROUND($E$12*J81,2)</f>
        <v>0</v>
      </c>
      <c r="L81" s="23">
        <f>ROUND(12*$Q$12,2)</f>
        <v>107.28</v>
      </c>
      <c r="M81" s="23">
        <f>ROUND((I81+J81)*$R$12,2)</f>
        <v>260.89</v>
      </c>
      <c r="N81" s="23">
        <f>ROUND(12*$F$12,2)</f>
        <v>0</v>
      </c>
      <c r="O81" s="96">
        <f>M81+L81+K81+K82+L82+M82+N81+N82</f>
        <v>19320.48</v>
      </c>
      <c r="P81" s="3"/>
    </row>
    <row r="82" spans="1:16" ht="25.5" customHeight="1" x14ac:dyDescent="0.25">
      <c r="A82" s="93"/>
      <c r="B82" s="16">
        <f t="shared" ref="B82:B87" si="9">B81+1</f>
        <v>60</v>
      </c>
      <c r="C82" s="95"/>
      <c r="D82" s="17" t="s">
        <v>275</v>
      </c>
      <c r="E82" s="18" t="s">
        <v>64</v>
      </c>
      <c r="F82" s="18" t="s">
        <v>65</v>
      </c>
      <c r="G82" s="16" t="s">
        <v>304</v>
      </c>
      <c r="H82" s="19">
        <v>252</v>
      </c>
      <c r="I82" s="20"/>
      <c r="J82" s="20">
        <v>309221</v>
      </c>
      <c r="K82" s="21">
        <f>ROUND($D$16*I82,2)+ROUND($E$16*J82,2)</f>
        <v>0</v>
      </c>
      <c r="L82" s="21">
        <f>ROUND(8760*$Q$16*H82,2)</f>
        <v>13510.02</v>
      </c>
      <c r="M82" s="21">
        <f>ROUND($R$16*(I82+J82),2)</f>
        <v>5442.29</v>
      </c>
      <c r="N82" s="21">
        <f>ROUND(12*$F$16,2)</f>
        <v>0</v>
      </c>
      <c r="O82" s="96"/>
      <c r="P82" s="3"/>
    </row>
    <row r="83" spans="1:16" ht="25.5" customHeight="1" x14ac:dyDescent="0.25">
      <c r="A83" s="33">
        <v>22</v>
      </c>
      <c r="B83" s="33">
        <f t="shared" si="9"/>
        <v>61</v>
      </c>
      <c r="C83" s="34" t="s">
        <v>276</v>
      </c>
      <c r="D83" s="42" t="s">
        <v>278</v>
      </c>
      <c r="E83" s="34" t="s">
        <v>277</v>
      </c>
      <c r="F83" s="34" t="s">
        <v>276</v>
      </c>
      <c r="G83" s="33" t="s">
        <v>304</v>
      </c>
      <c r="H83" s="37">
        <v>274</v>
      </c>
      <c r="I83" s="38"/>
      <c r="J83" s="38">
        <v>262549</v>
      </c>
      <c r="K83" s="39">
        <f>ROUND($D$16*I83,2)+ROUND($E$16*J83,2)</f>
        <v>0</v>
      </c>
      <c r="L83" s="39">
        <f>ROUND(8760*$Q$16*H83,2)</f>
        <v>14689.47</v>
      </c>
      <c r="M83" s="39">
        <f>ROUND($R$16*(I83+J83),2)</f>
        <v>4620.8599999999997</v>
      </c>
      <c r="N83" s="39">
        <f>ROUND(12*$F$16,2)</f>
        <v>0</v>
      </c>
      <c r="O83" s="41">
        <f>M83+L83+K83+N83</f>
        <v>19310.329999999998</v>
      </c>
      <c r="P83" s="3"/>
    </row>
    <row r="84" spans="1:16" ht="25.5" customHeight="1" x14ac:dyDescent="0.25">
      <c r="A84" s="16">
        <v>23</v>
      </c>
      <c r="B84" s="16">
        <f t="shared" si="9"/>
        <v>62</v>
      </c>
      <c r="C84" s="18" t="s">
        <v>51</v>
      </c>
      <c r="D84" s="17" t="s">
        <v>53</v>
      </c>
      <c r="E84" s="18" t="s">
        <v>52</v>
      </c>
      <c r="F84" s="18" t="s">
        <v>51</v>
      </c>
      <c r="G84" s="16" t="s">
        <v>305</v>
      </c>
      <c r="H84" s="19"/>
      <c r="I84" s="20"/>
      <c r="J84" s="20">
        <v>1240</v>
      </c>
      <c r="K84" s="21">
        <f>ROUND($D$11*I84,2)+ROUND($E$11*J84,2)</f>
        <v>0</v>
      </c>
      <c r="L84" s="23">
        <f>ROUND(12*$Q$11,2)</f>
        <v>50.52</v>
      </c>
      <c r="M84" s="23">
        <f>ROUND(J84*$R$11,2)</f>
        <v>69.14</v>
      </c>
      <c r="N84" s="23">
        <f>ROUND(12*$F$11,2)</f>
        <v>0</v>
      </c>
      <c r="O84" s="32">
        <f>M84+L84+K84+N84</f>
        <v>119.66</v>
      </c>
      <c r="P84" s="3"/>
    </row>
    <row r="85" spans="1:16" ht="25.5" customHeight="1" x14ac:dyDescent="0.25">
      <c r="A85" s="33">
        <v>23</v>
      </c>
      <c r="B85" s="33">
        <f t="shared" si="9"/>
        <v>63</v>
      </c>
      <c r="C85" s="34" t="s">
        <v>51</v>
      </c>
      <c r="D85" s="35" t="s">
        <v>279</v>
      </c>
      <c r="E85" s="34" t="s">
        <v>52</v>
      </c>
      <c r="F85" s="34" t="s">
        <v>51</v>
      </c>
      <c r="G85" s="33" t="s">
        <v>304</v>
      </c>
      <c r="H85" s="37">
        <v>154</v>
      </c>
      <c r="I85" s="38"/>
      <c r="J85" s="38">
        <v>187677</v>
      </c>
      <c r="K85" s="39">
        <f>ROUND($D$16*I85,2)+ROUND($E$16*J85,2)</f>
        <v>0</v>
      </c>
      <c r="L85" s="39">
        <f>ROUND(8760*$Q$16*H85,2)</f>
        <v>8256.1200000000008</v>
      </c>
      <c r="M85" s="39">
        <f>ROUND($R$16*(I85+J85),2)</f>
        <v>3303.12</v>
      </c>
      <c r="N85" s="39">
        <f>ROUND(12*$F$16,2)</f>
        <v>0</v>
      </c>
      <c r="O85" s="41">
        <f>M85+L85+K85+N85</f>
        <v>11559.240000000002</v>
      </c>
      <c r="P85" s="3"/>
    </row>
    <row r="86" spans="1:16" ht="25.5" customHeight="1" x14ac:dyDescent="0.25">
      <c r="A86" s="16">
        <v>24</v>
      </c>
      <c r="B86" s="16">
        <f t="shared" si="9"/>
        <v>64</v>
      </c>
      <c r="C86" s="18" t="s">
        <v>151</v>
      </c>
      <c r="D86" s="17" t="s">
        <v>153</v>
      </c>
      <c r="E86" s="18" t="s">
        <v>152</v>
      </c>
      <c r="F86" s="18" t="s">
        <v>151</v>
      </c>
      <c r="G86" s="16" t="s">
        <v>30</v>
      </c>
      <c r="H86" s="19"/>
      <c r="I86" s="20"/>
      <c r="J86" s="20">
        <v>37831</v>
      </c>
      <c r="K86" s="21">
        <f>ROUND($D$13*I86,2)+ROUND($E$13*J86,2)</f>
        <v>0</v>
      </c>
      <c r="L86" s="23">
        <f>ROUND(12*$Q$13,2)</f>
        <v>281.04000000000002</v>
      </c>
      <c r="M86" s="23">
        <f>ROUND((I86+J86)*$R$13,2)</f>
        <v>1498.11</v>
      </c>
      <c r="N86" s="23">
        <f>ROUND(12*$F$13,2)</f>
        <v>0</v>
      </c>
      <c r="O86" s="32">
        <f>M86+L86+K86+N86</f>
        <v>1779.1499999999999</v>
      </c>
      <c r="P86" s="3"/>
    </row>
    <row r="87" spans="1:16" ht="25.5" customHeight="1" x14ac:dyDescent="0.25">
      <c r="A87" s="33">
        <v>25</v>
      </c>
      <c r="B87" s="33">
        <f t="shared" si="9"/>
        <v>65</v>
      </c>
      <c r="C87" s="34" t="s">
        <v>154</v>
      </c>
      <c r="D87" s="42" t="s">
        <v>156</v>
      </c>
      <c r="E87" s="34" t="s">
        <v>155</v>
      </c>
      <c r="F87" s="34" t="s">
        <v>154</v>
      </c>
      <c r="G87" s="33" t="s">
        <v>30</v>
      </c>
      <c r="H87" s="37"/>
      <c r="I87" s="38"/>
      <c r="J87" s="38">
        <v>20000</v>
      </c>
      <c r="K87" s="39">
        <f>ROUND($D$13*I87,2)+ROUND($E$13*J87,2)</f>
        <v>0</v>
      </c>
      <c r="L87" s="40">
        <f>ROUND(12*$Q$13,2)</f>
        <v>281.04000000000002</v>
      </c>
      <c r="M87" s="40">
        <f>ROUND((I87+J87)*$R$13,2)</f>
        <v>792</v>
      </c>
      <c r="N87" s="40">
        <f>ROUND(12*$F$13,2)</f>
        <v>0</v>
      </c>
      <c r="O87" s="41">
        <f t="shared" ref="O87:O108" si="10">M87+L87+K87+N87</f>
        <v>1073.04</v>
      </c>
      <c r="P87" s="3"/>
    </row>
    <row r="88" spans="1:16" ht="25.5" customHeight="1" x14ac:dyDescent="0.25">
      <c r="A88" s="16">
        <v>26</v>
      </c>
      <c r="B88" s="16">
        <f>B87+1</f>
        <v>66</v>
      </c>
      <c r="C88" s="18" t="s">
        <v>157</v>
      </c>
      <c r="D88" s="17" t="s">
        <v>159</v>
      </c>
      <c r="E88" s="18" t="s">
        <v>158</v>
      </c>
      <c r="F88" s="18" t="s">
        <v>157</v>
      </c>
      <c r="G88" s="16" t="s">
        <v>30</v>
      </c>
      <c r="H88" s="19"/>
      <c r="I88" s="20"/>
      <c r="J88" s="20">
        <v>27840</v>
      </c>
      <c r="K88" s="21">
        <f>ROUND($D$13*I88,2)+ROUND($E$13*J88,2)</f>
        <v>0</v>
      </c>
      <c r="L88" s="23">
        <f>ROUND(12*$Q$13,2)</f>
        <v>281.04000000000002</v>
      </c>
      <c r="M88" s="23">
        <f>ROUND((I88+J88)*$R$13,2)</f>
        <v>1102.46</v>
      </c>
      <c r="N88" s="23">
        <f>ROUND(12*$F$13,2)</f>
        <v>0</v>
      </c>
      <c r="O88" s="32">
        <f t="shared" si="10"/>
        <v>1383.5</v>
      </c>
      <c r="P88" s="3"/>
    </row>
    <row r="89" spans="1:16" ht="25.5" customHeight="1" x14ac:dyDescent="0.25">
      <c r="A89" s="33">
        <v>27</v>
      </c>
      <c r="B89" s="33">
        <f t="shared" ref="B89:B96" si="11">B88+1</f>
        <v>67</v>
      </c>
      <c r="C89" s="34" t="s">
        <v>66</v>
      </c>
      <c r="D89" s="42" t="s">
        <v>68</v>
      </c>
      <c r="E89" s="34" t="s">
        <v>67</v>
      </c>
      <c r="F89" s="34" t="s">
        <v>66</v>
      </c>
      <c r="G89" s="33" t="s">
        <v>306</v>
      </c>
      <c r="H89" s="37"/>
      <c r="I89" s="37"/>
      <c r="J89" s="38">
        <v>13176</v>
      </c>
      <c r="K89" s="39">
        <f>ROUND($D$12*I89,2)+ROUND($E$12*J89,2)</f>
        <v>0</v>
      </c>
      <c r="L89" s="40">
        <f>ROUND(12*$Q$12,2)</f>
        <v>107.28</v>
      </c>
      <c r="M89" s="40">
        <f>ROUND((I89+J89)*$R$12,2)</f>
        <v>579.88</v>
      </c>
      <c r="N89" s="40">
        <f>ROUND(12*$F$12,2)</f>
        <v>0</v>
      </c>
      <c r="O89" s="41">
        <f t="shared" si="10"/>
        <v>687.16</v>
      </c>
      <c r="P89" s="3"/>
    </row>
    <row r="90" spans="1:16" ht="25.5" customHeight="1" x14ac:dyDescent="0.25">
      <c r="A90" s="16">
        <v>28</v>
      </c>
      <c r="B90" s="16">
        <f t="shared" si="11"/>
        <v>68</v>
      </c>
      <c r="C90" s="18" t="s">
        <v>69</v>
      </c>
      <c r="D90" s="17" t="s">
        <v>71</v>
      </c>
      <c r="E90" s="18" t="s">
        <v>70</v>
      </c>
      <c r="F90" s="18" t="s">
        <v>69</v>
      </c>
      <c r="G90" s="16" t="s">
        <v>306</v>
      </c>
      <c r="H90" s="19"/>
      <c r="I90" s="19"/>
      <c r="J90" s="20">
        <v>9282</v>
      </c>
      <c r="K90" s="21">
        <f>ROUND($D$12*I90,2)+ROUND($E$12*J90,2)</f>
        <v>0</v>
      </c>
      <c r="L90" s="23">
        <f>ROUND(12*$Q$12,2)</f>
        <v>107.28</v>
      </c>
      <c r="M90" s="23">
        <f>ROUND((I90+J90)*$R$12,2)</f>
        <v>408.5</v>
      </c>
      <c r="N90" s="23">
        <f>ROUND(12*$F$12,2)</f>
        <v>0</v>
      </c>
      <c r="O90" s="32">
        <f t="shared" si="10"/>
        <v>515.78</v>
      </c>
      <c r="P90" s="3"/>
    </row>
    <row r="91" spans="1:16" ht="25.5" customHeight="1" x14ac:dyDescent="0.25">
      <c r="A91" s="33">
        <v>29</v>
      </c>
      <c r="B91" s="33">
        <f t="shared" si="11"/>
        <v>69</v>
      </c>
      <c r="C91" s="34" t="s">
        <v>160</v>
      </c>
      <c r="D91" s="42" t="s">
        <v>162</v>
      </c>
      <c r="E91" s="34" t="s">
        <v>161</v>
      </c>
      <c r="F91" s="34" t="s">
        <v>160</v>
      </c>
      <c r="G91" s="33" t="s">
        <v>30</v>
      </c>
      <c r="H91" s="37"/>
      <c r="I91" s="38"/>
      <c r="J91" s="38">
        <v>18797</v>
      </c>
      <c r="K91" s="39">
        <f>ROUND($D$13*I91,2)+ROUND($E$13*J91,2)</f>
        <v>0</v>
      </c>
      <c r="L91" s="40">
        <f>ROUND(12*$Q$13,2)</f>
        <v>281.04000000000002</v>
      </c>
      <c r="M91" s="40">
        <f>ROUND((I91+J91)*$R$13,2)</f>
        <v>744.36</v>
      </c>
      <c r="N91" s="40">
        <f>ROUND(12*$F$13,2)</f>
        <v>0</v>
      </c>
      <c r="O91" s="41">
        <f t="shared" si="10"/>
        <v>1025.4000000000001</v>
      </c>
      <c r="P91" s="3"/>
    </row>
    <row r="92" spans="1:16" ht="25.5" customHeight="1" x14ac:dyDescent="0.25">
      <c r="A92" s="16">
        <v>30</v>
      </c>
      <c r="B92" s="16">
        <f t="shared" si="11"/>
        <v>70</v>
      </c>
      <c r="C92" s="18" t="s">
        <v>163</v>
      </c>
      <c r="D92" s="17" t="s">
        <v>165</v>
      </c>
      <c r="E92" s="18" t="s">
        <v>164</v>
      </c>
      <c r="F92" s="18" t="s">
        <v>163</v>
      </c>
      <c r="G92" s="16" t="s">
        <v>30</v>
      </c>
      <c r="H92" s="19"/>
      <c r="I92" s="20"/>
      <c r="J92" s="20">
        <v>34198</v>
      </c>
      <c r="K92" s="21">
        <f>ROUND($D$13*I92,2)+ROUND($E$13*J92,2)</f>
        <v>0</v>
      </c>
      <c r="L92" s="23">
        <f>ROUND(12*$Q$13,2)</f>
        <v>281.04000000000002</v>
      </c>
      <c r="M92" s="23">
        <f>ROUND((I92+J92)*$R$13,2)</f>
        <v>1354.24</v>
      </c>
      <c r="N92" s="23">
        <f>ROUND(12*$F$13,2)</f>
        <v>0</v>
      </c>
      <c r="O92" s="32">
        <f t="shared" si="10"/>
        <v>1635.28</v>
      </c>
      <c r="P92" s="3"/>
    </row>
    <row r="93" spans="1:16" ht="25.5" customHeight="1" x14ac:dyDescent="0.25">
      <c r="A93" s="33">
        <v>31</v>
      </c>
      <c r="B93" s="33">
        <f t="shared" si="11"/>
        <v>71</v>
      </c>
      <c r="C93" s="34" t="s">
        <v>72</v>
      </c>
      <c r="D93" s="35" t="s">
        <v>74</v>
      </c>
      <c r="E93" s="34" t="s">
        <v>73</v>
      </c>
      <c r="F93" s="34" t="s">
        <v>72</v>
      </c>
      <c r="G93" s="33" t="s">
        <v>306</v>
      </c>
      <c r="H93" s="37"/>
      <c r="I93" s="37"/>
      <c r="J93" s="38">
        <v>9950</v>
      </c>
      <c r="K93" s="39">
        <f>ROUND($D$12*I93,2)+ROUND($E$12*J93,2)</f>
        <v>0</v>
      </c>
      <c r="L93" s="40">
        <f>ROUND(12*$Q$12,2)</f>
        <v>107.28</v>
      </c>
      <c r="M93" s="40">
        <f>ROUND((I93+J93)*$R$12,2)</f>
        <v>437.9</v>
      </c>
      <c r="N93" s="40">
        <f>ROUND(12*$F$12,2)</f>
        <v>0</v>
      </c>
      <c r="O93" s="41">
        <f t="shared" si="10"/>
        <v>545.17999999999995</v>
      </c>
      <c r="P93" s="3"/>
    </row>
    <row r="94" spans="1:16" ht="25.5" customHeight="1" x14ac:dyDescent="0.25">
      <c r="A94" s="16">
        <v>32</v>
      </c>
      <c r="B94" s="16">
        <f t="shared" si="11"/>
        <v>72</v>
      </c>
      <c r="C94" s="18" t="s">
        <v>166</v>
      </c>
      <c r="D94" s="17" t="s">
        <v>168</v>
      </c>
      <c r="E94" s="18" t="s">
        <v>167</v>
      </c>
      <c r="F94" s="18" t="s">
        <v>166</v>
      </c>
      <c r="G94" s="16" t="s">
        <v>30</v>
      </c>
      <c r="H94" s="19"/>
      <c r="I94" s="20"/>
      <c r="J94" s="20">
        <v>32688</v>
      </c>
      <c r="K94" s="21">
        <f>ROUND($D$13*I94,2)+ROUND($E$13*J94,2)</f>
        <v>0</v>
      </c>
      <c r="L94" s="23">
        <f>ROUND(12*$Q$13,2)</f>
        <v>281.04000000000002</v>
      </c>
      <c r="M94" s="23">
        <f>ROUND((I94+J94)*$R$13,2)</f>
        <v>1294.44</v>
      </c>
      <c r="N94" s="23">
        <f>ROUND(12*$F$13,2)</f>
        <v>0</v>
      </c>
      <c r="O94" s="32">
        <f t="shared" si="10"/>
        <v>1575.48</v>
      </c>
      <c r="P94" s="3"/>
    </row>
    <row r="95" spans="1:16" ht="25.5" customHeight="1" x14ac:dyDescent="0.25">
      <c r="A95" s="33">
        <v>33</v>
      </c>
      <c r="B95" s="33">
        <f t="shared" si="11"/>
        <v>73</v>
      </c>
      <c r="C95" s="34" t="s">
        <v>234</v>
      </c>
      <c r="D95" s="42" t="s">
        <v>236</v>
      </c>
      <c r="E95" s="34" t="s">
        <v>235</v>
      </c>
      <c r="F95" s="34" t="s">
        <v>234</v>
      </c>
      <c r="G95" s="33" t="s">
        <v>31</v>
      </c>
      <c r="H95" s="37"/>
      <c r="I95" s="37"/>
      <c r="J95" s="38">
        <v>92305</v>
      </c>
      <c r="K95" s="39">
        <f>ROUND($D$15*I95,2)+ROUND($E$15*J95,2)</f>
        <v>0</v>
      </c>
      <c r="L95" s="39">
        <f>ROUND(12*$Q$15,2)</f>
        <v>1982.4</v>
      </c>
      <c r="M95" s="39">
        <f>ROUND((I95+J95)*$R$15,2)</f>
        <v>3175.29</v>
      </c>
      <c r="N95" s="39">
        <f>ROUND(12*$F$15,2)</f>
        <v>0</v>
      </c>
      <c r="O95" s="41">
        <f t="shared" si="10"/>
        <v>5157.6900000000005</v>
      </c>
      <c r="P95" s="3"/>
    </row>
    <row r="96" spans="1:16" ht="25.5" customHeight="1" x14ac:dyDescent="0.25">
      <c r="A96" s="16">
        <v>34</v>
      </c>
      <c r="B96" s="16">
        <f t="shared" si="11"/>
        <v>74</v>
      </c>
      <c r="C96" s="18" t="s">
        <v>237</v>
      </c>
      <c r="D96" s="22" t="s">
        <v>239</v>
      </c>
      <c r="E96" s="18" t="s">
        <v>238</v>
      </c>
      <c r="F96" s="18" t="s">
        <v>237</v>
      </c>
      <c r="G96" s="16" t="s">
        <v>31</v>
      </c>
      <c r="H96" s="19"/>
      <c r="I96" s="19"/>
      <c r="J96" s="20">
        <v>31810</v>
      </c>
      <c r="K96" s="21">
        <f>ROUND($D$15*I96,2)+ROUND($E$15*J96,2)</f>
        <v>0</v>
      </c>
      <c r="L96" s="21">
        <f>ROUND(12*$Q$15,2)</f>
        <v>1982.4</v>
      </c>
      <c r="M96" s="21">
        <f>ROUND((I96+J96)*$R$15,2)</f>
        <v>1094.26</v>
      </c>
      <c r="N96" s="21">
        <f>ROUND(12*$F$15,2)</f>
        <v>0</v>
      </c>
      <c r="O96" s="32">
        <f t="shared" si="10"/>
        <v>3076.66</v>
      </c>
      <c r="P96" s="3"/>
    </row>
    <row r="97" spans="1:16" ht="25.5" customHeight="1" x14ac:dyDescent="0.25">
      <c r="A97" s="33">
        <v>35</v>
      </c>
      <c r="B97" s="33">
        <f>B96+1</f>
        <v>75</v>
      </c>
      <c r="C97" s="34" t="s">
        <v>169</v>
      </c>
      <c r="D97" s="42" t="s">
        <v>327</v>
      </c>
      <c r="E97" s="34" t="s">
        <v>170</v>
      </c>
      <c r="F97" s="34" t="s">
        <v>169</v>
      </c>
      <c r="G97" s="33" t="s">
        <v>30</v>
      </c>
      <c r="H97" s="37"/>
      <c r="I97" s="38"/>
      <c r="J97" s="38">
        <v>67875</v>
      </c>
      <c r="K97" s="39">
        <f>ROUND($D$13*I97,2)+ROUND($E$13*J97,2)</f>
        <v>0</v>
      </c>
      <c r="L97" s="40">
        <f>ROUND(12*$Q$13,2)</f>
        <v>281.04000000000002</v>
      </c>
      <c r="M97" s="40">
        <f>ROUND((I97+J97)*$R$13,2)</f>
        <v>2687.85</v>
      </c>
      <c r="N97" s="40">
        <f>ROUND(12*$F$13,2)</f>
        <v>0</v>
      </c>
      <c r="O97" s="41">
        <f t="shared" si="10"/>
        <v>2968.89</v>
      </c>
      <c r="P97" s="3"/>
    </row>
    <row r="98" spans="1:16" ht="25.5" customHeight="1" x14ac:dyDescent="0.25">
      <c r="A98" s="16">
        <v>36</v>
      </c>
      <c r="B98" s="16">
        <f t="shared" ref="B98:B101" si="12">B97+1</f>
        <v>76</v>
      </c>
      <c r="C98" s="18" t="s">
        <v>171</v>
      </c>
      <c r="D98" s="22" t="s">
        <v>173</v>
      </c>
      <c r="E98" s="18" t="s">
        <v>172</v>
      </c>
      <c r="F98" s="18" t="s">
        <v>171</v>
      </c>
      <c r="G98" s="16" t="s">
        <v>30</v>
      </c>
      <c r="H98" s="19"/>
      <c r="I98" s="20"/>
      <c r="J98" s="20">
        <v>12464</v>
      </c>
      <c r="K98" s="21">
        <f>ROUND($D$13*I98,2)+ROUND($E$13*J98,2)</f>
        <v>0</v>
      </c>
      <c r="L98" s="23">
        <f>ROUND(12*$Q$13,2)</f>
        <v>281.04000000000002</v>
      </c>
      <c r="M98" s="23">
        <f>ROUND((I98+J98)*$R$13,2)</f>
        <v>493.57</v>
      </c>
      <c r="N98" s="23">
        <f>ROUND(12*$F$13,2)</f>
        <v>0</v>
      </c>
      <c r="O98" s="32">
        <f t="shared" si="10"/>
        <v>774.61</v>
      </c>
      <c r="P98" s="3"/>
    </row>
    <row r="99" spans="1:16" ht="25.5" customHeight="1" x14ac:dyDescent="0.25">
      <c r="A99" s="33">
        <v>37</v>
      </c>
      <c r="B99" s="33">
        <f t="shared" si="12"/>
        <v>77</v>
      </c>
      <c r="C99" s="34" t="s">
        <v>280</v>
      </c>
      <c r="D99" s="42" t="s">
        <v>282</v>
      </c>
      <c r="E99" s="34" t="s">
        <v>281</v>
      </c>
      <c r="F99" s="34" t="s">
        <v>280</v>
      </c>
      <c r="G99" s="33" t="s">
        <v>304</v>
      </c>
      <c r="H99" s="37">
        <v>133</v>
      </c>
      <c r="I99" s="38"/>
      <c r="J99" s="38">
        <v>110691</v>
      </c>
      <c r="K99" s="39">
        <f>ROUND($D$16*I99,2)+ROUND($E$16*J99,2)</f>
        <v>0</v>
      </c>
      <c r="L99" s="39">
        <f>ROUND(8760*$Q$16*H99,2)</f>
        <v>7130.29</v>
      </c>
      <c r="M99" s="39">
        <f>ROUND($R$16*(I99+J99),2)</f>
        <v>1948.16</v>
      </c>
      <c r="N99" s="39">
        <f>ROUND(12*$F$16,2)</f>
        <v>0</v>
      </c>
      <c r="O99" s="41">
        <f t="shared" si="10"/>
        <v>9078.4500000000007</v>
      </c>
      <c r="P99" s="3"/>
    </row>
    <row r="100" spans="1:16" ht="25.5" customHeight="1" x14ac:dyDescent="0.25">
      <c r="A100" s="16">
        <v>38</v>
      </c>
      <c r="B100" s="16">
        <f t="shared" si="12"/>
        <v>78</v>
      </c>
      <c r="C100" s="18" t="s">
        <v>174</v>
      </c>
      <c r="D100" s="22" t="s">
        <v>176</v>
      </c>
      <c r="E100" s="18" t="s">
        <v>175</v>
      </c>
      <c r="F100" s="18" t="s">
        <v>174</v>
      </c>
      <c r="G100" s="16" t="s">
        <v>30</v>
      </c>
      <c r="H100" s="19"/>
      <c r="I100" s="20"/>
      <c r="J100" s="20">
        <v>76000</v>
      </c>
      <c r="K100" s="21">
        <f>ROUND($D$13*I100,2)+ROUND($E$13*J100,2)</f>
        <v>0</v>
      </c>
      <c r="L100" s="23">
        <f>ROUND(12*$Q$13,2)</f>
        <v>281.04000000000002</v>
      </c>
      <c r="M100" s="23">
        <f>ROUND((I100+J100)*$R$13,2)</f>
        <v>3009.6</v>
      </c>
      <c r="N100" s="23">
        <f>ROUND(12*$F$13,2)</f>
        <v>0</v>
      </c>
      <c r="O100" s="32">
        <f t="shared" si="10"/>
        <v>3290.64</v>
      </c>
      <c r="P100" s="3"/>
    </row>
    <row r="101" spans="1:16" ht="25.5" customHeight="1" x14ac:dyDescent="0.25">
      <c r="A101" s="33">
        <v>39</v>
      </c>
      <c r="B101" s="33">
        <f t="shared" si="12"/>
        <v>79</v>
      </c>
      <c r="C101" s="34" t="s">
        <v>240</v>
      </c>
      <c r="D101" s="35" t="s">
        <v>242</v>
      </c>
      <c r="E101" s="34" t="s">
        <v>241</v>
      </c>
      <c r="F101" s="34" t="s">
        <v>240</v>
      </c>
      <c r="G101" s="33" t="s">
        <v>31</v>
      </c>
      <c r="H101" s="37"/>
      <c r="I101" s="37"/>
      <c r="J101" s="38">
        <v>229300</v>
      </c>
      <c r="K101" s="39">
        <f>ROUND($D$15*I101,2)+ROUND($E$15*J101,2)</f>
        <v>0</v>
      </c>
      <c r="L101" s="39">
        <f>ROUND(12*$Q$15,2)</f>
        <v>1982.4</v>
      </c>
      <c r="M101" s="39">
        <f>ROUND((I101+J101)*$R$15,2)</f>
        <v>7887.92</v>
      </c>
      <c r="N101" s="39">
        <f>ROUND(12*$F$15,2)</f>
        <v>0</v>
      </c>
      <c r="O101" s="41">
        <f t="shared" si="10"/>
        <v>9870.32</v>
      </c>
      <c r="P101" s="3"/>
    </row>
    <row r="102" spans="1:16" ht="25.5" customHeight="1" x14ac:dyDescent="0.25">
      <c r="A102" s="16">
        <v>40</v>
      </c>
      <c r="B102" s="16">
        <f>B101+1</f>
        <v>80</v>
      </c>
      <c r="C102" s="18" t="s">
        <v>75</v>
      </c>
      <c r="D102" s="22" t="s">
        <v>77</v>
      </c>
      <c r="E102" s="18" t="s">
        <v>76</v>
      </c>
      <c r="F102" s="18" t="s">
        <v>75</v>
      </c>
      <c r="G102" s="16" t="s">
        <v>306</v>
      </c>
      <c r="H102" s="19"/>
      <c r="I102" s="19"/>
      <c r="J102" s="20">
        <v>12160</v>
      </c>
      <c r="K102" s="21">
        <f>ROUND($D$12*I102,2)+ROUND($E$12*J102,2)</f>
        <v>0</v>
      </c>
      <c r="L102" s="23">
        <f>ROUND(12*$Q$12,2)</f>
        <v>107.28</v>
      </c>
      <c r="M102" s="23">
        <f>ROUND((I102+J102)*$R$12,2)</f>
        <v>535.16</v>
      </c>
      <c r="N102" s="23">
        <f>ROUND(12*$F$12,2)</f>
        <v>0</v>
      </c>
      <c r="O102" s="32">
        <f t="shared" si="10"/>
        <v>642.43999999999994</v>
      </c>
      <c r="P102" s="3"/>
    </row>
    <row r="103" spans="1:16" ht="25.5" customHeight="1" x14ac:dyDescent="0.25">
      <c r="A103" s="33">
        <v>41</v>
      </c>
      <c r="B103" s="33">
        <f t="shared" ref="B103:B108" si="13">B102+1</f>
        <v>81</v>
      </c>
      <c r="C103" s="34" t="s">
        <v>177</v>
      </c>
      <c r="D103" s="35" t="s">
        <v>179</v>
      </c>
      <c r="E103" s="34" t="s">
        <v>178</v>
      </c>
      <c r="F103" s="34" t="s">
        <v>177</v>
      </c>
      <c r="G103" s="33" t="s">
        <v>30</v>
      </c>
      <c r="H103" s="37"/>
      <c r="I103" s="38"/>
      <c r="J103" s="38">
        <v>18512</v>
      </c>
      <c r="K103" s="39">
        <f t="shared" ref="K103:K108" si="14">ROUND($D$13*I103,2)+ROUND($E$13*J103,2)</f>
        <v>0</v>
      </c>
      <c r="L103" s="40">
        <f t="shared" ref="L103:L108" si="15">ROUND(12*$Q$13,2)</f>
        <v>281.04000000000002</v>
      </c>
      <c r="M103" s="40">
        <f t="shared" ref="M103:M108" si="16">ROUND((I103+J103)*$R$13,2)</f>
        <v>733.08</v>
      </c>
      <c r="N103" s="40">
        <f t="shared" ref="N103:N108" si="17">ROUND(12*$F$13,2)</f>
        <v>0</v>
      </c>
      <c r="O103" s="41">
        <f t="shared" si="10"/>
        <v>1014.1200000000001</v>
      </c>
      <c r="P103" s="3"/>
    </row>
    <row r="104" spans="1:16" ht="25.5" customHeight="1" x14ac:dyDescent="0.25">
      <c r="A104" s="16">
        <v>42</v>
      </c>
      <c r="B104" s="16">
        <f t="shared" si="13"/>
        <v>82</v>
      </c>
      <c r="C104" s="18" t="s">
        <v>180</v>
      </c>
      <c r="D104" s="22" t="s">
        <v>182</v>
      </c>
      <c r="E104" s="18" t="s">
        <v>181</v>
      </c>
      <c r="F104" s="18" t="s">
        <v>180</v>
      </c>
      <c r="G104" s="16" t="s">
        <v>30</v>
      </c>
      <c r="H104" s="19"/>
      <c r="I104" s="20"/>
      <c r="J104" s="20">
        <v>45604</v>
      </c>
      <c r="K104" s="21">
        <f t="shared" si="14"/>
        <v>0</v>
      </c>
      <c r="L104" s="23">
        <f t="shared" si="15"/>
        <v>281.04000000000002</v>
      </c>
      <c r="M104" s="23">
        <f t="shared" si="16"/>
        <v>1805.92</v>
      </c>
      <c r="N104" s="23">
        <f t="shared" si="17"/>
        <v>0</v>
      </c>
      <c r="O104" s="32">
        <f t="shared" si="10"/>
        <v>2086.96</v>
      </c>
      <c r="P104" s="3"/>
    </row>
    <row r="105" spans="1:16" ht="25.5" customHeight="1" x14ac:dyDescent="0.25">
      <c r="A105" s="33">
        <v>43</v>
      </c>
      <c r="B105" s="33">
        <f t="shared" si="13"/>
        <v>83</v>
      </c>
      <c r="C105" s="34" t="s">
        <v>183</v>
      </c>
      <c r="D105" s="42" t="s">
        <v>185</v>
      </c>
      <c r="E105" s="34" t="s">
        <v>184</v>
      </c>
      <c r="F105" s="34" t="s">
        <v>183</v>
      </c>
      <c r="G105" s="33" t="s">
        <v>30</v>
      </c>
      <c r="H105" s="37"/>
      <c r="I105" s="38"/>
      <c r="J105" s="38">
        <v>55520</v>
      </c>
      <c r="K105" s="39">
        <f t="shared" si="14"/>
        <v>0</v>
      </c>
      <c r="L105" s="40">
        <f t="shared" si="15"/>
        <v>281.04000000000002</v>
      </c>
      <c r="M105" s="40">
        <f t="shared" si="16"/>
        <v>2198.59</v>
      </c>
      <c r="N105" s="40">
        <f t="shared" si="17"/>
        <v>0</v>
      </c>
      <c r="O105" s="41">
        <f t="shared" si="10"/>
        <v>2479.63</v>
      </c>
      <c r="P105" s="3"/>
    </row>
    <row r="106" spans="1:16" ht="15" customHeight="1" x14ac:dyDescent="0.25">
      <c r="A106" s="16">
        <v>44</v>
      </c>
      <c r="B106" s="16">
        <f t="shared" si="13"/>
        <v>84</v>
      </c>
      <c r="C106" s="18" t="s">
        <v>186</v>
      </c>
      <c r="D106" s="17" t="s">
        <v>188</v>
      </c>
      <c r="E106" s="18" t="s">
        <v>187</v>
      </c>
      <c r="F106" s="18" t="s">
        <v>186</v>
      </c>
      <c r="G106" s="16" t="s">
        <v>30</v>
      </c>
      <c r="H106" s="19"/>
      <c r="I106" s="20"/>
      <c r="J106" s="20">
        <v>25778</v>
      </c>
      <c r="K106" s="21">
        <f t="shared" si="14"/>
        <v>0</v>
      </c>
      <c r="L106" s="23">
        <f t="shared" si="15"/>
        <v>281.04000000000002</v>
      </c>
      <c r="M106" s="23">
        <f t="shared" si="16"/>
        <v>1020.81</v>
      </c>
      <c r="N106" s="23">
        <f t="shared" si="17"/>
        <v>0</v>
      </c>
      <c r="O106" s="32">
        <f t="shared" si="10"/>
        <v>1301.8499999999999</v>
      </c>
      <c r="P106" s="3"/>
    </row>
    <row r="107" spans="1:16" ht="15" customHeight="1" x14ac:dyDescent="0.25">
      <c r="A107" s="33">
        <v>45</v>
      </c>
      <c r="B107" s="33">
        <f t="shared" si="13"/>
        <v>85</v>
      </c>
      <c r="C107" s="34" t="s">
        <v>189</v>
      </c>
      <c r="D107" s="35" t="s">
        <v>191</v>
      </c>
      <c r="E107" s="34" t="s">
        <v>190</v>
      </c>
      <c r="F107" s="34" t="s">
        <v>189</v>
      </c>
      <c r="G107" s="33" t="s">
        <v>30</v>
      </c>
      <c r="H107" s="37"/>
      <c r="I107" s="38"/>
      <c r="J107" s="38">
        <v>32900</v>
      </c>
      <c r="K107" s="39">
        <f t="shared" si="14"/>
        <v>0</v>
      </c>
      <c r="L107" s="40">
        <f t="shared" si="15"/>
        <v>281.04000000000002</v>
      </c>
      <c r="M107" s="40">
        <f t="shared" si="16"/>
        <v>1302.8399999999999</v>
      </c>
      <c r="N107" s="40">
        <f t="shared" si="17"/>
        <v>0</v>
      </c>
      <c r="O107" s="41">
        <f t="shared" si="10"/>
        <v>1583.8799999999999</v>
      </c>
      <c r="P107" s="3"/>
    </row>
    <row r="108" spans="1:16" ht="15" customHeight="1" x14ac:dyDescent="0.25">
      <c r="A108" s="16">
        <v>46</v>
      </c>
      <c r="B108" s="16">
        <f t="shared" si="13"/>
        <v>86</v>
      </c>
      <c r="C108" s="18" t="s">
        <v>192</v>
      </c>
      <c r="D108" s="17" t="s">
        <v>193</v>
      </c>
      <c r="E108" s="18" t="s">
        <v>194</v>
      </c>
      <c r="F108" s="18" t="s">
        <v>192</v>
      </c>
      <c r="G108" s="16" t="s">
        <v>30</v>
      </c>
      <c r="H108" s="19"/>
      <c r="I108" s="20"/>
      <c r="J108" s="20">
        <v>42900</v>
      </c>
      <c r="K108" s="21">
        <f t="shared" si="14"/>
        <v>0</v>
      </c>
      <c r="L108" s="23">
        <f t="shared" si="15"/>
        <v>281.04000000000002</v>
      </c>
      <c r="M108" s="23">
        <f t="shared" si="16"/>
        <v>1698.84</v>
      </c>
      <c r="N108" s="23">
        <f t="shared" si="17"/>
        <v>0</v>
      </c>
      <c r="O108" s="32">
        <f t="shared" si="10"/>
        <v>1979.8799999999999</v>
      </c>
      <c r="P108" s="3"/>
    </row>
    <row r="109" spans="1:16" ht="20.100000000000001" customHeight="1" x14ac:dyDescent="0.25">
      <c r="A109" s="86">
        <v>47</v>
      </c>
      <c r="B109" s="33">
        <f>B108+1</f>
        <v>87</v>
      </c>
      <c r="C109" s="89" t="s">
        <v>243</v>
      </c>
      <c r="D109" s="35" t="s">
        <v>244</v>
      </c>
      <c r="E109" s="34" t="s">
        <v>245</v>
      </c>
      <c r="F109" s="34" t="s">
        <v>246</v>
      </c>
      <c r="G109" s="33" t="s">
        <v>31</v>
      </c>
      <c r="H109" s="37"/>
      <c r="I109" s="38">
        <v>86850</v>
      </c>
      <c r="J109" s="38"/>
      <c r="K109" s="39">
        <f>ROUND($D$15*I109,2)+ROUND($E$15*J109,2)</f>
        <v>0</v>
      </c>
      <c r="L109" s="39">
        <f>ROUND(12*$Q$15,2)</f>
        <v>1982.4</v>
      </c>
      <c r="M109" s="39">
        <f>ROUND((I109+J109)*$R$15,2)</f>
        <v>2987.64</v>
      </c>
      <c r="N109" s="39">
        <v>0</v>
      </c>
      <c r="O109" s="97">
        <f>M109+L109+K109+K110+L110+M110+N109+N110</f>
        <v>131178.5</v>
      </c>
      <c r="P109" s="3"/>
    </row>
    <row r="110" spans="1:16" ht="20.100000000000001" customHeight="1" x14ac:dyDescent="0.25">
      <c r="A110" s="88"/>
      <c r="B110" s="33">
        <f t="shared" ref="B110:B120" si="18">B109+1</f>
        <v>88</v>
      </c>
      <c r="C110" s="91"/>
      <c r="D110" s="35" t="s">
        <v>297</v>
      </c>
      <c r="E110" s="34" t="s">
        <v>298</v>
      </c>
      <c r="F110" s="34" t="s">
        <v>299</v>
      </c>
      <c r="G110" s="33" t="s">
        <v>32</v>
      </c>
      <c r="H110" s="37">
        <v>1207</v>
      </c>
      <c r="I110" s="38"/>
      <c r="J110" s="38">
        <v>3730000</v>
      </c>
      <c r="K110" s="39">
        <f>ROUND($D$17*I110,2)+ROUND($E$17*J110,2)</f>
        <v>0</v>
      </c>
      <c r="L110" s="39">
        <f>ROUND(8760*$Q$17*H110,2)</f>
        <v>61008.06</v>
      </c>
      <c r="M110" s="39">
        <f>ROUND($R$17*(J110+I110),2)</f>
        <v>65200.4</v>
      </c>
      <c r="N110" s="39">
        <f>ROUND(12*$F$17,2)</f>
        <v>0</v>
      </c>
      <c r="O110" s="97"/>
      <c r="P110" s="3"/>
    </row>
    <row r="111" spans="1:16" ht="38.25" x14ac:dyDescent="0.25">
      <c r="A111" s="16">
        <v>48</v>
      </c>
      <c r="B111" s="16">
        <f t="shared" si="18"/>
        <v>89</v>
      </c>
      <c r="C111" s="18" t="s">
        <v>247</v>
      </c>
      <c r="D111" s="17" t="s">
        <v>248</v>
      </c>
      <c r="E111" s="18" t="s">
        <v>249</v>
      </c>
      <c r="F111" s="18" t="s">
        <v>247</v>
      </c>
      <c r="G111" s="16" t="s">
        <v>31</v>
      </c>
      <c r="H111" s="16"/>
      <c r="I111" s="20">
        <v>27165</v>
      </c>
      <c r="J111" s="20">
        <f>217320+27165</f>
        <v>244485</v>
      </c>
      <c r="K111" s="21">
        <f>ROUND($D$15*I111,2)+ROUND($E$15*J111,2)</f>
        <v>0</v>
      </c>
      <c r="L111" s="21">
        <f>ROUND(12*$Q$15,2)</f>
        <v>1982.4</v>
      </c>
      <c r="M111" s="21">
        <f>ROUND((I111+J111)*$R$15,2)</f>
        <v>9344.76</v>
      </c>
      <c r="N111" s="21">
        <f>ROUND(12*$F$15,2)</f>
        <v>0</v>
      </c>
      <c r="O111" s="32">
        <f>M111+L111+K111+N111</f>
        <v>11327.16</v>
      </c>
      <c r="P111" s="3"/>
    </row>
    <row r="112" spans="1:16" ht="38.25" x14ac:dyDescent="0.25">
      <c r="A112" s="33">
        <v>49</v>
      </c>
      <c r="B112" s="33">
        <f t="shared" si="18"/>
        <v>90</v>
      </c>
      <c r="C112" s="34" t="s">
        <v>250</v>
      </c>
      <c r="D112" s="35" t="s">
        <v>251</v>
      </c>
      <c r="E112" s="34" t="s">
        <v>252</v>
      </c>
      <c r="F112" s="34" t="s">
        <v>250</v>
      </c>
      <c r="G112" s="33" t="s">
        <v>31</v>
      </c>
      <c r="H112" s="33"/>
      <c r="I112" s="74"/>
      <c r="J112" s="38">
        <v>92100</v>
      </c>
      <c r="K112" s="39">
        <f>ROUND($D$15*I112,2)+ROUND($E$15*J112,2)</f>
        <v>0</v>
      </c>
      <c r="L112" s="39">
        <f>ROUND(12*$Q$15,2)</f>
        <v>1982.4</v>
      </c>
      <c r="M112" s="39">
        <f>ROUND((I112+J112)*$R$15,2)</f>
        <v>3168.24</v>
      </c>
      <c r="N112" s="39">
        <f>ROUND(12*$F$15,2)</f>
        <v>0</v>
      </c>
      <c r="O112" s="41">
        <f>M112+L112+K112+N112</f>
        <v>5150.6399999999994</v>
      </c>
      <c r="P112" s="3"/>
    </row>
    <row r="113" spans="1:17" ht="38.25" x14ac:dyDescent="0.25">
      <c r="A113" s="16">
        <v>50</v>
      </c>
      <c r="B113" s="16">
        <f t="shared" si="18"/>
        <v>91</v>
      </c>
      <c r="C113" s="18" t="s">
        <v>253</v>
      </c>
      <c r="D113" s="17" t="s">
        <v>254</v>
      </c>
      <c r="E113" s="18" t="s">
        <v>255</v>
      </c>
      <c r="F113" s="18" t="s">
        <v>256</v>
      </c>
      <c r="G113" s="16" t="s">
        <v>31</v>
      </c>
      <c r="H113" s="16"/>
      <c r="I113" s="73"/>
      <c r="J113" s="20">
        <v>108700</v>
      </c>
      <c r="K113" s="21">
        <f>ROUND($D$15*I113,2)+ROUND($E$15*J113,2)</f>
        <v>0</v>
      </c>
      <c r="L113" s="21">
        <f>ROUND(12*$Q$15,2)</f>
        <v>1982.4</v>
      </c>
      <c r="M113" s="21">
        <f>ROUND((I113+J113)*$R$15,2)</f>
        <v>3739.28</v>
      </c>
      <c r="N113" s="21">
        <f>ROUND(12*$F$15,2)</f>
        <v>0</v>
      </c>
      <c r="O113" s="32">
        <f>M113+L113+K113+N113</f>
        <v>5721.68</v>
      </c>
      <c r="P113" s="3"/>
    </row>
    <row r="114" spans="1:17" ht="15" customHeight="1" x14ac:dyDescent="0.25">
      <c r="A114" s="86">
        <v>51</v>
      </c>
      <c r="B114" s="33">
        <f t="shared" si="18"/>
        <v>92</v>
      </c>
      <c r="C114" s="89" t="s">
        <v>54</v>
      </c>
      <c r="D114" s="42" t="s">
        <v>55</v>
      </c>
      <c r="E114" s="34" t="s">
        <v>56</v>
      </c>
      <c r="F114" s="34" t="s">
        <v>57</v>
      </c>
      <c r="G114" s="33" t="s">
        <v>305</v>
      </c>
      <c r="H114" s="33"/>
      <c r="I114" s="38"/>
      <c r="J114" s="38">
        <v>3192</v>
      </c>
      <c r="K114" s="39">
        <f>ROUND($D$11*I114,2)+ROUND($E$11*J114,2)</f>
        <v>0</v>
      </c>
      <c r="L114" s="40">
        <f>ROUND(12*$Q$11,2)</f>
        <v>50.52</v>
      </c>
      <c r="M114" s="40">
        <f>ROUND(J114*$R$11,2)</f>
        <v>177.99</v>
      </c>
      <c r="N114" s="40">
        <f>ROUND(12*$F$11,2)</f>
        <v>0</v>
      </c>
      <c r="O114" s="97">
        <f>M114+L114+K114+K115+L115+M115+M116+L116+K116+K117+L117+M117+N114+N117+N115+N116</f>
        <v>48872.33</v>
      </c>
      <c r="P114" s="3"/>
      <c r="Q114" s="15"/>
    </row>
    <row r="115" spans="1:17" ht="15" customHeight="1" x14ac:dyDescent="0.25">
      <c r="A115" s="87"/>
      <c r="B115" s="33">
        <f t="shared" si="18"/>
        <v>93</v>
      </c>
      <c r="C115" s="90"/>
      <c r="D115" s="42" t="s">
        <v>195</v>
      </c>
      <c r="E115" s="34" t="s">
        <v>196</v>
      </c>
      <c r="F115" s="34" t="s">
        <v>197</v>
      </c>
      <c r="G115" s="33" t="s">
        <v>30</v>
      </c>
      <c r="H115" s="33"/>
      <c r="I115" s="38"/>
      <c r="J115" s="38">
        <v>26737</v>
      </c>
      <c r="K115" s="39">
        <f>ROUND($D$13*I115,2)+ROUND($E$13*J115,2)</f>
        <v>0</v>
      </c>
      <c r="L115" s="40">
        <f>ROUND(12*$Q$13,2)</f>
        <v>281.04000000000002</v>
      </c>
      <c r="M115" s="40">
        <f>ROUND((I115+J115)*$R$13,2)</f>
        <v>1058.79</v>
      </c>
      <c r="N115" s="40">
        <f>ROUND(12*$F$13,2)</f>
        <v>0</v>
      </c>
      <c r="O115" s="97"/>
      <c r="P115" s="3"/>
    </row>
    <row r="116" spans="1:17" ht="15" customHeight="1" x14ac:dyDescent="0.25">
      <c r="A116" s="87"/>
      <c r="B116" s="33">
        <f t="shared" si="18"/>
        <v>94</v>
      </c>
      <c r="C116" s="90"/>
      <c r="D116" s="44" t="s">
        <v>198</v>
      </c>
      <c r="E116" s="34" t="s">
        <v>199</v>
      </c>
      <c r="F116" s="34" t="s">
        <v>199</v>
      </c>
      <c r="G116" s="33" t="s">
        <v>30</v>
      </c>
      <c r="H116" s="33"/>
      <c r="I116" s="38"/>
      <c r="J116" s="38">
        <v>68030</v>
      </c>
      <c r="K116" s="39">
        <f>ROUND($D$13*I116,2)+ROUND($E$13*J116,2)</f>
        <v>0</v>
      </c>
      <c r="L116" s="40">
        <f>ROUND(12*$Q$13,2)</f>
        <v>281.04000000000002</v>
      </c>
      <c r="M116" s="40">
        <f>ROUND((I116+J116)*$R$13,2)</f>
        <v>2693.99</v>
      </c>
      <c r="N116" s="40">
        <f>ROUND(12*$F$13,2)</f>
        <v>0</v>
      </c>
      <c r="O116" s="97"/>
      <c r="P116" s="3"/>
    </row>
    <row r="117" spans="1:17" ht="15" customHeight="1" x14ac:dyDescent="0.25">
      <c r="A117" s="88"/>
      <c r="B117" s="33">
        <f t="shared" si="18"/>
        <v>95</v>
      </c>
      <c r="C117" s="91"/>
      <c r="D117" s="35" t="s">
        <v>283</v>
      </c>
      <c r="E117" s="34" t="s">
        <v>284</v>
      </c>
      <c r="F117" s="34" t="s">
        <v>285</v>
      </c>
      <c r="G117" s="33" t="s">
        <v>304</v>
      </c>
      <c r="H117" s="37">
        <v>439</v>
      </c>
      <c r="I117" s="38"/>
      <c r="J117" s="38">
        <v>1181457</v>
      </c>
      <c r="K117" s="39">
        <f>ROUND($D$16*I117,2)+ROUND($E$16*J117,2)</f>
        <v>0</v>
      </c>
      <c r="L117" s="39">
        <f>ROUND(8760*$Q$16*H117,2)</f>
        <v>23535.32</v>
      </c>
      <c r="M117" s="39">
        <f>ROUND($R$16*(I117+J117),2)</f>
        <v>20793.64</v>
      </c>
      <c r="N117" s="39">
        <f>ROUND(12*$F$16,2)</f>
        <v>0</v>
      </c>
      <c r="O117" s="97"/>
      <c r="P117" s="3"/>
    </row>
    <row r="118" spans="1:17" ht="15" customHeight="1" x14ac:dyDescent="0.25">
      <c r="A118" s="16">
        <v>52</v>
      </c>
      <c r="B118" s="16">
        <f t="shared" si="18"/>
        <v>96</v>
      </c>
      <c r="C118" s="18" t="s">
        <v>206</v>
      </c>
      <c r="D118" s="17" t="s">
        <v>208</v>
      </c>
      <c r="E118" s="18" t="s">
        <v>207</v>
      </c>
      <c r="F118" s="18" t="s">
        <v>206</v>
      </c>
      <c r="G118" s="16" t="s">
        <v>307</v>
      </c>
      <c r="H118" s="19"/>
      <c r="I118" s="20">
        <v>24150</v>
      </c>
      <c r="J118" s="20"/>
      <c r="K118" s="21">
        <f>ROUND($D$14*I118,2)+ROUND($E$14*J118,2)</f>
        <v>0</v>
      </c>
      <c r="L118" s="23">
        <f>ROUND(12*$Q$14,2)</f>
        <v>305.27999999999997</v>
      </c>
      <c r="M118" s="23">
        <f>ROUND((I118+J118)*$R$14,2)</f>
        <v>956.34</v>
      </c>
      <c r="N118" s="23">
        <v>0</v>
      </c>
      <c r="O118" s="32">
        <f>M118+L118+K118+N118</f>
        <v>1261.6199999999999</v>
      </c>
      <c r="P118" s="3"/>
    </row>
    <row r="119" spans="1:17" ht="38.25" x14ac:dyDescent="0.25">
      <c r="A119" s="33">
        <v>53</v>
      </c>
      <c r="B119" s="33">
        <f>B118+1</f>
        <v>97</v>
      </c>
      <c r="C119" s="34" t="s">
        <v>287</v>
      </c>
      <c r="D119" s="42" t="s">
        <v>288</v>
      </c>
      <c r="E119" s="36" t="s">
        <v>286</v>
      </c>
      <c r="F119" s="36" t="s">
        <v>289</v>
      </c>
      <c r="G119" s="33" t="s">
        <v>31</v>
      </c>
      <c r="H119" s="37"/>
      <c r="I119" s="38">
        <v>44600</v>
      </c>
      <c r="J119" s="38"/>
      <c r="K119" s="39">
        <f>ROUND($D$15*I119,2)+ROUND($E$15*J119,2)</f>
        <v>0</v>
      </c>
      <c r="L119" s="39">
        <f>ROUND(12*$Q$15,2)</f>
        <v>1982.4</v>
      </c>
      <c r="M119" s="39">
        <f>ROUND((I119+J119)*$R$15,2)</f>
        <v>1534.24</v>
      </c>
      <c r="N119" s="39">
        <v>0</v>
      </c>
      <c r="O119" s="41">
        <f>M119+L119+K119+N119</f>
        <v>3516.6400000000003</v>
      </c>
      <c r="P119" s="3"/>
    </row>
    <row r="120" spans="1:17" ht="15" customHeight="1" x14ac:dyDescent="0.25">
      <c r="A120" s="69">
        <v>54</v>
      </c>
      <c r="B120" s="69">
        <f t="shared" si="18"/>
        <v>98</v>
      </c>
      <c r="C120" s="70" t="s">
        <v>329</v>
      </c>
      <c r="D120" s="17" t="s">
        <v>330</v>
      </c>
      <c r="E120" s="70" t="s">
        <v>331</v>
      </c>
      <c r="F120" s="70" t="s">
        <v>332</v>
      </c>
      <c r="G120" s="69" t="s">
        <v>304</v>
      </c>
      <c r="H120" s="19">
        <v>154</v>
      </c>
      <c r="I120" s="20">
        <v>216700</v>
      </c>
      <c r="J120" s="20"/>
      <c r="K120" s="21">
        <f>ROUND($D$16*I120,2)+ROUND($E$16*J120,2)</f>
        <v>0</v>
      </c>
      <c r="L120" s="21">
        <f>ROUND(8760*$Q$16*H120,2)</f>
        <v>8256.1200000000008</v>
      </c>
      <c r="M120" s="21">
        <f>ROUND($R$16*(I120+J120),2)</f>
        <v>3813.92</v>
      </c>
      <c r="N120" s="21">
        <v>0</v>
      </c>
      <c r="O120" s="68">
        <f>M120+L120+K120+N120</f>
        <v>12070.04</v>
      </c>
      <c r="P120" s="3"/>
    </row>
    <row r="121" spans="1:17" x14ac:dyDescent="0.25">
      <c r="P121" s="3"/>
    </row>
    <row r="122" spans="1:17" x14ac:dyDescent="0.25">
      <c r="P122" s="3"/>
    </row>
    <row r="123" spans="1:17" x14ac:dyDescent="0.25">
      <c r="P123" s="3"/>
    </row>
  </sheetData>
  <autoFilter ref="A22:I121" xr:uid="{56606946-5212-41A9-9DD2-10FFD247F832}"/>
  <mergeCells count="54">
    <mergeCell ref="O62:O65"/>
    <mergeCell ref="O66:O71"/>
    <mergeCell ref="O72:O73"/>
    <mergeCell ref="B1:P1"/>
    <mergeCell ref="B2:P2"/>
    <mergeCell ref="B3:P3"/>
    <mergeCell ref="B4:P4"/>
    <mergeCell ref="B5:P5"/>
    <mergeCell ref="C9:C10"/>
    <mergeCell ref="C39:C40"/>
    <mergeCell ref="B6:P6"/>
    <mergeCell ref="B7:O7"/>
    <mergeCell ref="A52:A61"/>
    <mergeCell ref="C52:C61"/>
    <mergeCell ref="O47:O48"/>
    <mergeCell ref="F41:F43"/>
    <mergeCell ref="O23:O31"/>
    <mergeCell ref="O33:O37"/>
    <mergeCell ref="O39:O40"/>
    <mergeCell ref="O41:O43"/>
    <mergeCell ref="O44:O46"/>
    <mergeCell ref="O49:O50"/>
    <mergeCell ref="O52:O61"/>
    <mergeCell ref="A23:A31"/>
    <mergeCell ref="A33:A37"/>
    <mergeCell ref="C23:C31"/>
    <mergeCell ref="C33:C37"/>
    <mergeCell ref="A39:A40"/>
    <mergeCell ref="A62:A65"/>
    <mergeCell ref="C62:C65"/>
    <mergeCell ref="A41:A43"/>
    <mergeCell ref="A79:A80"/>
    <mergeCell ref="C79:C80"/>
    <mergeCell ref="A44:A46"/>
    <mergeCell ref="C44:C46"/>
    <mergeCell ref="A47:A48"/>
    <mergeCell ref="C47:C48"/>
    <mergeCell ref="C41:C43"/>
    <mergeCell ref="A66:A71"/>
    <mergeCell ref="C66:C71"/>
    <mergeCell ref="A72:A73"/>
    <mergeCell ref="C72:C73"/>
    <mergeCell ref="A49:A50"/>
    <mergeCell ref="C49:C50"/>
    <mergeCell ref="O79:O80"/>
    <mergeCell ref="A114:A117"/>
    <mergeCell ref="C114:C117"/>
    <mergeCell ref="A81:A82"/>
    <mergeCell ref="C81:C82"/>
    <mergeCell ref="O81:O82"/>
    <mergeCell ref="O109:O110"/>
    <mergeCell ref="O114:O117"/>
    <mergeCell ref="A109:A110"/>
    <mergeCell ref="C109:C110"/>
  </mergeCells>
  <conditionalFormatting sqref="D31">
    <cfRule type="duplicateValues" dxfId="2" priority="3" stopIfTrue="1"/>
  </conditionalFormatting>
  <conditionalFormatting sqref="D30">
    <cfRule type="duplicateValues" dxfId="1" priority="2" stopIfTrue="1"/>
  </conditionalFormatting>
  <conditionalFormatting sqref="D92 D86 D75">
    <cfRule type="duplicateValues" dxfId="0" priority="4" stopIfTrue="1"/>
  </conditionalFormatting>
  <pageMargins left="0.70866141732283472" right="0.70866141732283472" top="0.35433070866141736" bottom="0.35433070866141736" header="0.31496062992125984" footer="0.31496062992125984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2022-09-01T10:37:20Z</dcterms:modified>
</cp:coreProperties>
</file>